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ckbos\surfdrive\28. Dissertation\Supplementary materials\Chapter 4\"/>
    </mc:Choice>
  </mc:AlternateContent>
  <xr:revisionPtr revIDLastSave="0" documentId="13_ncr:1_{379CB220-704B-42EA-986B-5B500521001E}" xr6:coauthVersionLast="47" xr6:coauthVersionMax="47" xr10:uidLastSave="{00000000-0000-0000-0000-000000000000}"/>
  <bookViews>
    <workbookView xWindow="-104" yWindow="-104" windowWidth="22326" windowHeight="12050" xr2:uid="{BF874785-FA77-4F29-AE21-AEA744ACC867}"/>
  </bookViews>
  <sheets>
    <sheet name="Properties AB plastics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80" i="4" l="1"/>
  <c r="Z80" i="4"/>
  <c r="AA79" i="4"/>
  <c r="Z79" i="4"/>
  <c r="G48" i="4"/>
  <c r="G47" i="4"/>
  <c r="G46" i="4"/>
  <c r="G45" i="4"/>
  <c r="G44" i="4"/>
  <c r="AX56" i="4"/>
  <c r="AX58" i="4"/>
  <c r="AX57" i="4"/>
  <c r="AX55" i="4"/>
  <c r="AX54" i="4"/>
  <c r="AX53" i="4"/>
  <c r="AX52" i="4"/>
  <c r="AX51" i="4"/>
  <c r="AX50" i="4"/>
  <c r="AX49" i="4"/>
  <c r="AD58" i="4"/>
  <c r="AD57" i="4"/>
  <c r="AD56" i="4"/>
  <c r="AD55" i="4"/>
  <c r="AD54" i="4"/>
  <c r="AD53" i="4"/>
  <c r="AD52" i="4"/>
  <c r="AD51" i="4"/>
  <c r="AD50" i="4"/>
  <c r="AD49" i="4"/>
  <c r="AC56" i="4"/>
  <c r="AC55" i="4"/>
  <c r="AC54" i="4"/>
  <c r="AC53" i="4"/>
  <c r="AC52" i="4"/>
  <c r="AC51" i="4"/>
  <c r="AC50" i="4"/>
  <c r="AC49" i="4"/>
  <c r="AC58" i="4"/>
  <c r="AC57" i="4"/>
  <c r="AA58" i="4"/>
  <c r="AA57" i="4"/>
  <c r="AA56" i="4"/>
  <c r="AA55" i="4"/>
  <c r="AA54" i="4"/>
  <c r="AA53" i="4"/>
  <c r="AA52" i="4"/>
  <c r="AA51" i="4"/>
  <c r="AA50" i="4"/>
  <c r="AA49" i="4"/>
  <c r="Z55" i="4"/>
  <c r="Z53" i="4"/>
  <c r="Z58" i="4"/>
  <c r="Z57" i="4"/>
  <c r="Z56" i="4"/>
  <c r="Z54" i="4"/>
  <c r="Z52" i="4"/>
  <c r="Z51" i="4"/>
  <c r="Z50" i="4"/>
  <c r="Z49" i="4"/>
  <c r="U58" i="4"/>
  <c r="U57" i="4"/>
  <c r="U56" i="4"/>
  <c r="U55" i="4"/>
  <c r="U54" i="4"/>
  <c r="U53" i="4"/>
  <c r="U52" i="4"/>
  <c r="U51" i="4"/>
  <c r="U50" i="4"/>
  <c r="U49" i="4"/>
  <c r="T58" i="4"/>
  <c r="T57" i="4"/>
  <c r="T56" i="4"/>
  <c r="T55" i="4"/>
  <c r="T54" i="4"/>
  <c r="T53" i="4"/>
  <c r="T52" i="4"/>
  <c r="T51" i="4"/>
  <c r="T50" i="4"/>
  <c r="T49" i="4"/>
  <c r="AD48" i="4"/>
  <c r="AD47" i="4"/>
  <c r="AD46" i="4"/>
  <c r="AD45" i="4"/>
  <c r="AD44" i="4"/>
  <c r="AC48" i="4"/>
  <c r="AC47" i="4"/>
  <c r="AC46" i="4"/>
  <c r="AC45" i="4"/>
  <c r="AC44" i="4"/>
  <c r="AA48" i="4"/>
  <c r="Z48" i="4"/>
  <c r="AA47" i="4"/>
  <c r="AA46" i="4"/>
  <c r="AA45" i="4"/>
  <c r="AA44" i="4"/>
  <c r="Z47" i="4"/>
  <c r="Z46" i="4"/>
  <c r="Z45" i="4"/>
  <c r="Z44" i="4"/>
  <c r="BA43" i="4"/>
  <c r="BN38" i="4"/>
  <c r="BN37" i="4"/>
  <c r="BN36" i="4"/>
  <c r="BN35" i="4"/>
  <c r="BN34" i="4"/>
  <c r="BN33" i="4"/>
  <c r="AD37" i="4"/>
  <c r="AD36" i="4"/>
  <c r="AC37" i="4"/>
  <c r="AC36" i="4"/>
  <c r="U33" i="4"/>
  <c r="T35" i="4"/>
  <c r="T33" i="4"/>
  <c r="AM28" i="4"/>
  <c r="AL28" i="4"/>
  <c r="U28" i="4"/>
  <c r="U27" i="4"/>
  <c r="T28" i="4"/>
  <c r="T27" i="4"/>
  <c r="AD28" i="4"/>
  <c r="AC28" i="4"/>
</calcChain>
</file>

<file path=xl/sharedStrings.xml><?xml version="1.0" encoding="utf-8"?>
<sst xmlns="http://schemas.openxmlformats.org/spreadsheetml/2006/main" count="1103" uniqueCount="361">
  <si>
    <t>Biodegradation</t>
  </si>
  <si>
    <t>Tessanan2023</t>
  </si>
  <si>
    <t>Kim2023</t>
  </si>
  <si>
    <t>Thongphang2023</t>
  </si>
  <si>
    <t>Mierzati2023</t>
  </si>
  <si>
    <t>Luan2023</t>
  </si>
  <si>
    <t>Kamaludin2023</t>
  </si>
  <si>
    <t>Yun2023</t>
  </si>
  <si>
    <t>El2022</t>
  </si>
  <si>
    <t>Chai2023</t>
  </si>
  <si>
    <t>Naik2022</t>
  </si>
  <si>
    <t>Indicator</t>
  </si>
  <si>
    <t>Polymer generic name</t>
  </si>
  <si>
    <t>Polymer specific name</t>
  </si>
  <si>
    <t>Starch-based thermoset</t>
  </si>
  <si>
    <t>Dialdehyde pineapple stem starch with glycerol plasticiser</t>
  </si>
  <si>
    <t>Polymer abbreviation</t>
  </si>
  <si>
    <t>D30PSS_40Gly</t>
  </si>
  <si>
    <t>Tensile strength</t>
  </si>
  <si>
    <t>Method</t>
  </si>
  <si>
    <t>ASTM D882</t>
  </si>
  <si>
    <t>Shore D hardness</t>
  </si>
  <si>
    <t>ASTM D2240</t>
  </si>
  <si>
    <t>Seligra et al. 2016</t>
  </si>
  <si>
    <t>Elongation at break</t>
  </si>
  <si>
    <t>Density</t>
  </si>
  <si>
    <t>ASTM D792</t>
  </si>
  <si>
    <t>Time period, days</t>
  </si>
  <si>
    <t>Film, 1 mm</t>
  </si>
  <si>
    <t>PBS</t>
  </si>
  <si>
    <t>PCL</t>
  </si>
  <si>
    <t>PBAT</t>
  </si>
  <si>
    <t>PLA</t>
  </si>
  <si>
    <t>PHB</t>
  </si>
  <si>
    <t>Polybutylene succinate</t>
  </si>
  <si>
    <t>Polycaprolactone</t>
  </si>
  <si>
    <t>Glass transition temperature</t>
  </si>
  <si>
    <t>Melting temperature</t>
  </si>
  <si>
    <t>Not reported</t>
  </si>
  <si>
    <t>E lower, Mpa</t>
  </si>
  <si>
    <t>E upper, Mpa</t>
  </si>
  <si>
    <t>Polylactic acid</t>
  </si>
  <si>
    <t>Degree of degradation, wt%</t>
  </si>
  <si>
    <t>Polybutylene adipate terephthalate</t>
  </si>
  <si>
    <t xml:space="preserve">Polyhydroxybutyrate </t>
  </si>
  <si>
    <t>Product shape for biodegradation</t>
  </si>
  <si>
    <t>ISO 17556</t>
  </si>
  <si>
    <t>Biodegradation in soil (mass)</t>
  </si>
  <si>
    <t>Biodegradation in soil (optical)</t>
  </si>
  <si>
    <t>Biodegradation in seawater</t>
  </si>
  <si>
    <t>ASTM D6691</t>
  </si>
  <si>
    <t>Thermoplastic starch</t>
  </si>
  <si>
    <t>PSS-G20-Ca0</t>
  </si>
  <si>
    <t>PSS-G20-Ca20</t>
  </si>
  <si>
    <t>PSS-G20-Ca30</t>
  </si>
  <si>
    <t>PSS-G30-Ca0</t>
  </si>
  <si>
    <t>PSS-G30-Ca20</t>
  </si>
  <si>
    <t>PSS-G30-Ca30</t>
  </si>
  <si>
    <t>PSS-G40-Ca0</t>
  </si>
  <si>
    <t>PSS-G40-Ca20</t>
  </si>
  <si>
    <t>PSS-G40-Ca30</t>
  </si>
  <si>
    <t>PSS-G50-Ca0</t>
  </si>
  <si>
    <t>PSS-G50-Ca20</t>
  </si>
  <si>
    <t>PSS-G50-Ca30</t>
  </si>
  <si>
    <t>Pineapple stem starch based polymers compounded with 20wt% glycerol and 0wt% calcium carbonate</t>
  </si>
  <si>
    <t>Pineapple stem starch based polymers compounded with 20wt% glycerol and 20wt% calcium carbonate</t>
  </si>
  <si>
    <t>Pineapple stem starch based polymers compounded with 20wt% glycerol and 30wt% calcium carbonate</t>
  </si>
  <si>
    <t>Pineapple stem starch based polymers compounded with 30wt% glycerol and 0wt% calcium carbonate</t>
  </si>
  <si>
    <t>Pineapple stem starch based polymers compounded with 30wt% glycerol and 20wt% calcium carbonate</t>
  </si>
  <si>
    <t>Pineapple stem starch based polymers compounded with 30wt% glycerol and 30wt% calcium carbonate</t>
  </si>
  <si>
    <t>Pineapple stem starch based polymers compounded with 40wt% glycerol and 0wt% calcium carbonate</t>
  </si>
  <si>
    <t>Pineapple stem starch based polymers compounded with 40wt% glycerol and 20wt% calcium carbonate</t>
  </si>
  <si>
    <t>Pineapple stem starch based polymers compounded with 40wt% glycerol and 3wt% calcium carbonate</t>
  </si>
  <si>
    <t>Pineapple stem starch based polymers compounded with 50wt% glycerol and 0wt% calcium carbonate</t>
  </si>
  <si>
    <t>Pineapple stem starch based polymers compounded with 50wt% glycerol and 20wt% calcium carbonate</t>
  </si>
  <si>
    <t>Pineapple stem starch based polymers compounded with 50wt% glycerol and 30wt% calcium carbonate</t>
  </si>
  <si>
    <t>ISO 1183</t>
  </si>
  <si>
    <t>ISO 7619-1</t>
  </si>
  <si>
    <t>ISO 527-3, 50 mm/min</t>
  </si>
  <si>
    <r>
      <rPr>
        <b/>
        <sz val="11"/>
        <color theme="1"/>
        <rFont val="Calibri"/>
        <family val="2"/>
      </rPr>
      <t>ρ</t>
    </r>
    <r>
      <rPr>
        <b/>
        <sz val="11"/>
        <color theme="1"/>
        <rFont val="Calibri"/>
        <family val="2"/>
        <scheme val="minor"/>
      </rPr>
      <t>, g/cm3</t>
    </r>
  </si>
  <si>
    <r>
      <t xml:space="preserve">Tg lower, 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>C</t>
    </r>
  </si>
  <si>
    <r>
      <t xml:space="preserve">Tg upper, 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>C</t>
    </r>
  </si>
  <si>
    <r>
      <t xml:space="preserve">Tm lower, 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>C</t>
    </r>
  </si>
  <si>
    <r>
      <t xml:space="preserve">Tm upper, 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>C</t>
    </r>
  </si>
  <si>
    <r>
      <rPr>
        <b/>
        <sz val="11"/>
        <color theme="1"/>
        <rFont val="Symbol"/>
        <family val="1"/>
        <charset val="2"/>
      </rPr>
      <t>s</t>
    </r>
    <r>
      <rPr>
        <b/>
        <sz val="11"/>
        <color theme="1"/>
        <rFont val="Calibri"/>
        <family val="2"/>
        <scheme val="minor"/>
      </rPr>
      <t>f lower</t>
    </r>
    <r>
      <rPr>
        <b/>
        <sz val="11"/>
        <color theme="1"/>
        <rFont val="Calibri"/>
        <family val="1"/>
        <charset val="2"/>
        <scheme val="minor"/>
      </rPr>
      <t>, Mpa</t>
    </r>
  </si>
  <si>
    <r>
      <rPr>
        <b/>
        <sz val="11"/>
        <color theme="1"/>
        <rFont val="Symbol"/>
        <family val="1"/>
        <charset val="2"/>
      </rPr>
      <t>s</t>
    </r>
    <r>
      <rPr>
        <b/>
        <sz val="11"/>
        <color theme="1"/>
        <rFont val="Calibri"/>
        <family val="2"/>
        <scheme val="minor"/>
      </rPr>
      <t>f upper</t>
    </r>
    <r>
      <rPr>
        <b/>
        <sz val="11"/>
        <color theme="1"/>
        <rFont val="Calibri"/>
        <family val="1"/>
        <charset val="2"/>
        <scheme val="minor"/>
      </rPr>
      <t>, Mpa</t>
    </r>
  </si>
  <si>
    <r>
      <rPr>
        <b/>
        <sz val="11"/>
        <color theme="1"/>
        <rFont val="Calibri"/>
        <family val="2"/>
      </rPr>
      <t>εf lower</t>
    </r>
    <r>
      <rPr>
        <b/>
        <sz val="11"/>
        <color theme="1"/>
        <rFont val="Symbol"/>
        <family val="1"/>
        <charset val="2"/>
      </rPr>
      <t>, %</t>
    </r>
  </si>
  <si>
    <r>
      <rPr>
        <b/>
        <sz val="11"/>
        <color theme="1"/>
        <rFont val="Calibri"/>
        <family val="2"/>
      </rPr>
      <t>εf upper</t>
    </r>
    <r>
      <rPr>
        <b/>
        <sz val="11"/>
        <color theme="1"/>
        <rFont val="Symbol"/>
        <family val="1"/>
        <charset val="2"/>
      </rPr>
      <t>, %</t>
    </r>
  </si>
  <si>
    <t>Information</t>
  </si>
  <si>
    <t>Physical properties</t>
  </si>
  <si>
    <t>Thermal properties</t>
  </si>
  <si>
    <t>Mechanical properties</t>
  </si>
  <si>
    <t>Surface area degraded in 30 days, %</t>
  </si>
  <si>
    <t>Surface area degraded in 15 days, %</t>
  </si>
  <si>
    <t>PBDD (P1)</t>
  </si>
  <si>
    <t>PBAD (P2)</t>
  </si>
  <si>
    <t>PBSD (P3)</t>
  </si>
  <si>
    <t>PBCD (P4)</t>
  </si>
  <si>
    <t>Polyester</t>
  </si>
  <si>
    <t>Copolyester based on diethyl 6,60-dimethoxy-[1,10-bipheny]-3,30-dicarboxylate, hydroquinone bis(2-hydroxyethyl) ether, and dodecanedioic acid (ratio 1:3:1).</t>
  </si>
  <si>
    <t>Copolyester based on diethyl 6,60-dimethoxy-[1,10-bipheny]-3,30-dicarboxylate, hydroquinone bis(2-hydroxyethyl) ether, and adipic acid (ratio 1:3:1).</t>
  </si>
  <si>
    <t>Copolyester based on diethyl 6,60-dimethoxy-[1,10-bipheny]-3,30-dicarboxylate, hydroquinone bis(2-hydroxyethyl) ether, and succinic acid (ratio 1:3:1).</t>
  </si>
  <si>
    <t>Copolyester based on diethyl 6,60-dimethoxy-[1,10-bipheny]-3,30-dicarboxylate, hydroquinone bis(2-hydroxyethyl) ether, and 1,4-cyclohexanedicarboxylic acid (ratio 1:3:1).</t>
  </si>
  <si>
    <t>Td,5%</t>
  </si>
  <si>
    <t>Td,max</t>
  </si>
  <si>
    <t>Td,50%</t>
  </si>
  <si>
    <t>Thermal degradation temperature</t>
  </si>
  <si>
    <t>TGA under N2</t>
  </si>
  <si>
    <t>DSC with thermal history erasure, 10C/min</t>
  </si>
  <si>
    <t>Tensile/Youngs modulus</t>
  </si>
  <si>
    <t>GB528-2008</t>
  </si>
  <si>
    <r>
      <t xml:space="preserve">Films, 200 </t>
    </r>
    <r>
      <rPr>
        <sz val="11"/>
        <color theme="1"/>
        <rFont val="Calibri"/>
        <family val="2"/>
      </rPr>
      <t>µm</t>
    </r>
  </si>
  <si>
    <t>Kim et al., 2005</t>
  </si>
  <si>
    <t>Powde processed into bulk</t>
  </si>
  <si>
    <t>P(3HB)-0</t>
  </si>
  <si>
    <t>P(3HB)-1</t>
  </si>
  <si>
    <t>P(3HB)-2</t>
  </si>
  <si>
    <t>poly[(R)-3-hydroxybutyrate]</t>
  </si>
  <si>
    <t>poly[(R)-3-hydroxybutyrate-co-3-hydroxypivalate] 2 mol% HPI</t>
  </si>
  <si>
    <t>poly[(R)-3-hydroxybutyrate-co-3-hydroxypivalate] 10 mol% HPI</t>
  </si>
  <si>
    <t>Cast films</t>
  </si>
  <si>
    <t>Cast films, 0.1 mm</t>
  </si>
  <si>
    <t>DSC with thermal history erasure, 20C/min</t>
  </si>
  <si>
    <t>DSC, 20C/min</t>
  </si>
  <si>
    <t>TGA under N2, 10 C/min</t>
  </si>
  <si>
    <t>Toughness</t>
  </si>
  <si>
    <t>Toughness lower, MJ/m3</t>
  </si>
  <si>
    <t>Toughness upper, MJ/m3</t>
  </si>
  <si>
    <t>Biodegradation in freshwater</t>
  </si>
  <si>
    <t>Powder</t>
  </si>
  <si>
    <t>Using pond water at 20 C, based on oxygen demand.</t>
  </si>
  <si>
    <t>Poly(3-hydroxybutyrate)</t>
  </si>
  <si>
    <t>Bulk</t>
  </si>
  <si>
    <t>Hardness upper, Shore D</t>
  </si>
  <si>
    <t>Hardness lower, Shore D</t>
  </si>
  <si>
    <t>Impact strength</t>
  </si>
  <si>
    <t>Impact strength upper, kJ/m2</t>
  </si>
  <si>
    <t>Impact strength lower, kJ/m2</t>
  </si>
  <si>
    <t>WangH2023</t>
  </si>
  <si>
    <t>WangL2023</t>
  </si>
  <si>
    <t>Poly(dimethyl 2,2'-((5-methyl-1,3-phenylene)bis(oxy))diacetate-co-1,4-cyclohexanedimethanol)</t>
  </si>
  <si>
    <t>Poly(dimethyl 2,2'-((5-methyl-1,3-phenylene)bis(oxy))diacetate-co-1,3-bis(2-hydroxyeth- oxy)benzene)</t>
  </si>
  <si>
    <t>Poly(dimethyl 2,2'-((5-methyl-1,3-phenylene)bis(oxy))diacetate-co-hydroquinone bis(2-hydroxyethyl) ether))</t>
  </si>
  <si>
    <t>P1</t>
  </si>
  <si>
    <t>P2</t>
  </si>
  <si>
    <t>P3</t>
  </si>
  <si>
    <t>P4</t>
  </si>
  <si>
    <t>Poly(dimethyl 2,2'-((5-methyl-1,3-phenylene)bis(oxy))diacetate-co-1,6-hexanediol)</t>
  </si>
  <si>
    <t>Powder, injection moulded into 1 mm films</t>
  </si>
  <si>
    <t>DSC with thermal history erasue, 10 C/min</t>
  </si>
  <si>
    <t>Yield strength</t>
  </si>
  <si>
    <t>Yield stress lower, MPa</t>
  </si>
  <si>
    <t>Yield stress upper, Mpa</t>
  </si>
  <si>
    <t>Tensile test on dumblell specimens of 12x5x1 mm3, 50 mm/min</t>
  </si>
  <si>
    <r>
      <t xml:space="preserve">Films of 150 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m</t>
    </r>
  </si>
  <si>
    <r>
      <t xml:space="preserve">Buried at 60-80% humidity between 25-30 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C at 0.10m depth</t>
    </r>
  </si>
  <si>
    <t>PBO10S</t>
  </si>
  <si>
    <t>PBO20S</t>
  </si>
  <si>
    <t>PBO30S</t>
  </si>
  <si>
    <t>PBO40S</t>
  </si>
  <si>
    <t>PBO80S</t>
  </si>
  <si>
    <t>poly (butylene oxalate-co-succinate)</t>
  </si>
  <si>
    <t>poly (butylene succinate)</t>
  </si>
  <si>
    <t>poly (butylene oxalate-co-succinate) with 10% BO component</t>
  </si>
  <si>
    <t>poly (butylene oxalate-co-succinate) with 20% BO component</t>
  </si>
  <si>
    <t>poly (butylene oxalate-co-succinate) with 30% BO component</t>
  </si>
  <si>
    <t>poly (butylene oxalate-co-succinate) with 40% BO component</t>
  </si>
  <si>
    <t>poly (butylene oxalate-co-succinate) with 80% BO component</t>
  </si>
  <si>
    <t>ASTM D638</t>
  </si>
  <si>
    <t>DSC with thermal history removal, 10 C/min</t>
  </si>
  <si>
    <t>TGA under N2, 20 C/min</t>
  </si>
  <si>
    <t>Film, 2mm</t>
  </si>
  <si>
    <t xml:space="preserve">Hydrolysis experiments were carried out in Phosphate Buffer (PB) at 37 °C and artificial seawater at 23 °C under shaking conditions by using the Dual Function Water Bath Thermostatic Oscillator with the frequency of 80 r/min. </t>
  </si>
  <si>
    <t>PLA/2.5Cs</t>
  </si>
  <si>
    <t>PLA/5Cs</t>
  </si>
  <si>
    <t>PLA/7.5Cs</t>
  </si>
  <si>
    <t>PLA/10Cs</t>
  </si>
  <si>
    <t>Polylactic acid with 2.5 php chitosan</t>
  </si>
  <si>
    <t>Polylactic acid with 7.5 php chitosan</t>
  </si>
  <si>
    <t>Polylactic acid with 5 php chitosan</t>
  </si>
  <si>
    <t>Polylactic acid with 10 php chitosan</t>
  </si>
  <si>
    <t>Polylactic acid/Chitosan blend</t>
  </si>
  <si>
    <t>ASTM G160, T ~ 30 C, 50% relative humidity</t>
  </si>
  <si>
    <t>Dumbells, 1 mm thickness</t>
  </si>
  <si>
    <t>Control</t>
  </si>
  <si>
    <t>CSBF-5</t>
  </si>
  <si>
    <t>CSBF-10</t>
  </si>
  <si>
    <t>CSBF-15</t>
  </si>
  <si>
    <t>CSBF-20</t>
  </si>
  <si>
    <t>Thermoplastic starch based on corn starch with glycerol, guar gum and magnesium</t>
  </si>
  <si>
    <t>Thermoplastic starch based on corn starch with glycerol, guar gum, magnesium, and 5 wt% kimchi cabbage by-product powder with alkaline pretreatment and air jet milling</t>
  </si>
  <si>
    <t>Thermoplastic starch based on corn starch with glycerol, guar gum, magnesium, and 10 wt% kimchi cabbage by-product powder with alkaline pretreatment and air jet milling</t>
  </si>
  <si>
    <t>Thermoplastic starch based on corn starch with glycerol, guar gum, magnesium, and 15 wt% kimchi cabbage by-product powder with alkaline pretreatment and air jet milling</t>
  </si>
  <si>
    <t>Thermoplastic starch based on corn starch with glycerol, guar gum, magnesium, and 20 wt% kimchi cabbage by-product powder with alkaline pretreatment and air jet milling</t>
  </si>
  <si>
    <t>ASTM D2395</t>
  </si>
  <si>
    <t>Tensile test on rectangular samples of 20 x 60 x 5.05 mm</t>
  </si>
  <si>
    <t>Tensile test on rectangular samples of 20 x 60 x 4.61 mm</t>
  </si>
  <si>
    <t>Tensile test on rectangular samples of 20 x 60 x 4.65 mm</t>
  </si>
  <si>
    <t>Tensile test on rectangular samples of 20 x 60 x 4.28 mm</t>
  </si>
  <si>
    <t>Tensile test on rectangular samples of 20 x 60 x 3.99 mm</t>
  </si>
  <si>
    <t>Film, 5.05 mm thickness</t>
  </si>
  <si>
    <t>Film, 4.61 mm thickness</t>
  </si>
  <si>
    <t>Film, 4.65 mm thickness</t>
  </si>
  <si>
    <t>Film, 4.28 mm thickness</t>
  </si>
  <si>
    <t>Film, 3.99 mm thickness</t>
  </si>
  <si>
    <t>Ferreira2020</t>
  </si>
  <si>
    <t>CH10</t>
  </si>
  <si>
    <t>CH20</t>
  </si>
  <si>
    <t>CH30</t>
  </si>
  <si>
    <t>MB10</t>
  </si>
  <si>
    <t>MB20</t>
  </si>
  <si>
    <t>MB30</t>
  </si>
  <si>
    <t>OB10</t>
  </si>
  <si>
    <t>OB20</t>
  </si>
  <si>
    <t>OB30</t>
  </si>
  <si>
    <t>Thermplastic starch based on cassave starch, glycerol, reinforced with sugarcane bagasse.</t>
  </si>
  <si>
    <t>Thermplastic starch based on cassave starch, glycerol, reinforced with sugarcane bagasse and cornhusk.</t>
  </si>
  <si>
    <t>Thermplastic starch based on cassave starch, glycerol, reinforced with sugarcane bagasse and malt bagasse.</t>
  </si>
  <si>
    <t>Thermplastic starch based on cassave starch, glycerol, reinforced with sugarcane bagasse and orange bagasse.</t>
  </si>
  <si>
    <t>Calculated by weighting and measuring 25x25x3.96mm samples</t>
  </si>
  <si>
    <t>Calculated by weighting and measuring 25x25x3.75mm samples</t>
  </si>
  <si>
    <t>Calculated by weighting and measuring 25x25x3.51mm samples</t>
  </si>
  <si>
    <t>Calculated by weighting and measuring 25x25x3.58mm samples</t>
  </si>
  <si>
    <t>Calculated by weighting and measuring 25x25x4.21mm samples</t>
  </si>
  <si>
    <t>Calculated by weighting and measuring 25x25x4.20mm samples</t>
  </si>
  <si>
    <t>Calculated by weighting and measuring 25x25x4.10mm samples</t>
  </si>
  <si>
    <t>Calculated by weighting and measuring 25x25x3.52mm samples</t>
  </si>
  <si>
    <t>Calculated by weighting and measuring 25x25x3.63mm samples</t>
  </si>
  <si>
    <t>Calculated by weighting and measuring 25x25x3.57mm samples</t>
  </si>
  <si>
    <t>ASTM G160</t>
  </si>
  <si>
    <t>Film, 50x50x3.96mm</t>
  </si>
  <si>
    <t>Film, 50x50x3.75mm</t>
  </si>
  <si>
    <t xml:space="preserve">Film, 50x50x3.51mm </t>
  </si>
  <si>
    <t>Film, 50x50x3.58mm</t>
  </si>
  <si>
    <t>Film, 50x50x4.21mm</t>
  </si>
  <si>
    <t>Film, 50x50x4.20mm</t>
  </si>
  <si>
    <t>Film, 50x50x4.10mm</t>
  </si>
  <si>
    <t>Film, 50x50x3.52mm</t>
  </si>
  <si>
    <t>Film, 50x50x3.63mm</t>
  </si>
  <si>
    <t>Film, 50x50x3.57mm</t>
  </si>
  <si>
    <t>Foam</t>
  </si>
  <si>
    <t>MCC-PBS</t>
  </si>
  <si>
    <t>Poly(butylene succinate)</t>
  </si>
  <si>
    <t>Mitsubishi chemical commercial polybutylene succinate, FD grade</t>
  </si>
  <si>
    <t>ISO3136</t>
  </si>
  <si>
    <t>ISO 527-2</t>
  </si>
  <si>
    <t>ISO527-2</t>
  </si>
  <si>
    <t>ISO180</t>
  </si>
  <si>
    <t>Rockwell hardness</t>
  </si>
  <si>
    <t>Hardness upper, Rockwell</t>
  </si>
  <si>
    <t>Hardness lower, Rockwell</t>
  </si>
  <si>
    <t>ISO2039-2</t>
  </si>
  <si>
    <t>PBS-FD92</t>
  </si>
  <si>
    <t>Not stated</t>
  </si>
  <si>
    <t>TUV Austria OK biodegradable soil</t>
  </si>
  <si>
    <t>BASF-ecoflex</t>
  </si>
  <si>
    <t>BASF-ecovio</t>
  </si>
  <si>
    <t>Ecovio-M2351</t>
  </si>
  <si>
    <t>PBAT PLA blend</t>
  </si>
  <si>
    <t>BASF blend of ecoflex (PBAT) and PLA for biodegradable mulch films.</t>
  </si>
  <si>
    <t>Film</t>
  </si>
  <si>
    <t>DSC, no details</t>
  </si>
  <si>
    <t>ISO 527, mininum is transverse direction, maximum is machine direction</t>
  </si>
  <si>
    <t xml:space="preserve"> </t>
  </si>
  <si>
    <t>MCC-forzeas</t>
  </si>
  <si>
    <t>Forzeas-HF9001</t>
  </si>
  <si>
    <t>Poly(butylene succinate) blend</t>
  </si>
  <si>
    <t>Mitsubishi chemical commercial polybutylene succinate, blended, HF9001 grade</t>
  </si>
  <si>
    <t>Flexural modulus</t>
  </si>
  <si>
    <t>Flexural modulus upper, MPa</t>
  </si>
  <si>
    <t>Flexural modulus lower, MPa</t>
  </si>
  <si>
    <t>ISO 178</t>
  </si>
  <si>
    <t>Straw</t>
  </si>
  <si>
    <t>TUV Austria OK biodegradable marine</t>
  </si>
  <si>
    <t>NODAX-Danimer</t>
  </si>
  <si>
    <t>Danimer-2038</t>
  </si>
  <si>
    <t>PHA</t>
  </si>
  <si>
    <t>ASTM D-638</t>
  </si>
  <si>
    <t>ASTM D-790</t>
  </si>
  <si>
    <t>Flexural strength</t>
  </si>
  <si>
    <t>Flexural strength upper, Mpa</t>
  </si>
  <si>
    <t>Flexural strength lower, Mpa</t>
  </si>
  <si>
    <t>ASTM D-390</t>
  </si>
  <si>
    <t>ASTM D-256</t>
  </si>
  <si>
    <t>Danimer 2513</t>
  </si>
  <si>
    <t>Reference</t>
  </si>
  <si>
    <t>Novamont-materbi</t>
  </si>
  <si>
    <t>https://www.eco-logisch.nl/pdfupload/Mater_Bi%20_brochure.pdf</t>
  </si>
  <si>
    <t>Mater-bi_film</t>
  </si>
  <si>
    <t>PBAT/ TPS</t>
  </si>
  <si>
    <t>PBAT blend with thermoplastic starch</t>
  </si>
  <si>
    <t>Bio-FED-M-VERA</t>
  </si>
  <si>
    <t>https://bio-fed.com/our-biomaterials/</t>
  </si>
  <si>
    <t>M-VERA GP1012</t>
  </si>
  <si>
    <t>?</t>
  </si>
  <si>
    <t>ISO 527</t>
  </si>
  <si>
    <t>ISO 179</t>
  </si>
  <si>
    <t>M-VERA GP1045</t>
  </si>
  <si>
    <t>Polyester compound</t>
  </si>
  <si>
    <t>FKuR-Bioflex</t>
  </si>
  <si>
    <t>https://fkur.com/en/bioplastics/bio-flex/</t>
  </si>
  <si>
    <t>Bio-Flex FX 1135</t>
  </si>
  <si>
    <t>PLA blend</t>
  </si>
  <si>
    <t>N/mm, spencer impact test ASTM D 320</t>
  </si>
  <si>
    <t>https://download.basf.com/p1/8a8082587fd4b608017fd63230bf39c4/en/ecoflex%3Csup%3E%C2%AE%3Csup%3E_F_Blend_C1200_Product_Data_Sheet_English.pdf?view, soil biodegradable according to TUV registry</t>
  </si>
  <si>
    <t>Copolyester thermoplastic elastomer</t>
  </si>
  <si>
    <t>ISO 868</t>
  </si>
  <si>
    <t>Granulate</t>
  </si>
  <si>
    <t>Ecoflex F blend C1200</t>
  </si>
  <si>
    <t>Ecovio M 2351</t>
  </si>
  <si>
    <t>BluePHA-Bio</t>
  </si>
  <si>
    <t>https://www.bluepha.bio/</t>
  </si>
  <si>
    <t>BP330-05</t>
  </si>
  <si>
    <t>Polyhydroxyalkanoate</t>
  </si>
  <si>
    <t>BP350-05</t>
  </si>
  <si>
    <t>https://www.bluepha.bio/, nice whitepaper: https://www.bluepha.bio/_files/ugd/935e6d_bb55dc69acba451d8bd5a08c06726c21.pdf</t>
  </si>
  <si>
    <t>TUV Austria OK freshwater biodegrdable</t>
  </si>
  <si>
    <t>Danimer 2192</t>
  </si>
  <si>
    <t>ASTM D 638</t>
  </si>
  <si>
    <t>ASTM D 790</t>
  </si>
  <si>
    <t>Danimer 2194</t>
  </si>
  <si>
    <t>knowde.com, soil biodegradation in TUV database</t>
  </si>
  <si>
    <t>Golden compound-green</t>
  </si>
  <si>
    <t>https://www.golden-compound.com/wp-content/uploads/2022/09/DS-GC-green-3092-MIF.pdf</t>
  </si>
  <si>
    <t>https://www.golden-compound.com/wp-content/uploads/2022/09/DS-GC-green-3092-MIF-T13.pdf</t>
  </si>
  <si>
    <t>GC green 3092 MIF</t>
  </si>
  <si>
    <t>GC green 3092 MIF T13</t>
  </si>
  <si>
    <t>No norm reported</t>
  </si>
  <si>
    <t>Not reported, polymer with 30 wt% fibres from sunflowerseed shells</t>
  </si>
  <si>
    <t>Form in which the polymer is produced</t>
  </si>
  <si>
    <t>Kaneka-151C</t>
  </si>
  <si>
    <t>https://www.ctc-n.org/products/kaneka-biodegradable-polymer-phbh</t>
  </si>
  <si>
    <t>PHBH-151C</t>
  </si>
  <si>
    <t>PHBH</t>
  </si>
  <si>
    <t>Poly(3-hydroxybutyrate-co-3-hydroxyhexanoate)</t>
  </si>
  <si>
    <t>Kaneka-X131A</t>
  </si>
  <si>
    <t>PHBH-X131A</t>
  </si>
  <si>
    <r>
      <t xml:space="preserve">El Semary, N., Alsuhail, M., Al Amer, K., &amp; AlNaim, A. (2022). Applications of algae for environmental sustainability: Novel bioplastic formulation method from marine green alga. </t>
    </r>
    <r>
      <rPr>
        <i/>
        <sz val="11"/>
        <color theme="1"/>
        <rFont val="Calibri"/>
        <family val="2"/>
        <scheme val="minor"/>
      </rPr>
      <t>Frontiers in Marine Science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, 1047284.</t>
    </r>
  </si>
  <si>
    <t>Green alga-Plantago</t>
  </si>
  <si>
    <t>Blend of algae, PEG and Plantago ovata seed (plasticizer)</t>
  </si>
  <si>
    <t>TGA, N2 atmosphere, 10 C/min</t>
  </si>
  <si>
    <t>Tensile test of rectangular specimens (0.5 cm x 8 cm x 0.03 cm) at 32 C and 1 mm/min</t>
  </si>
  <si>
    <t>Biodegradation in soil at RT for 60 days.</t>
  </si>
  <si>
    <r>
      <t xml:space="preserve">Chai, X., He, C., Liu, Y., Niyitanga, E., Wang, L., &amp; Zhang, W. (2023). Degradation of wheat straw/polylactic acid composites with and without sodium alginate in natural soil and the effects on soil microorganisms. </t>
    </r>
    <r>
      <rPr>
        <i/>
        <sz val="11"/>
        <color theme="1"/>
        <rFont val="Calibri"/>
        <family val="2"/>
        <scheme val="minor"/>
      </rPr>
      <t>Journal of Applied Polymer Science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140</t>
    </r>
    <r>
      <rPr>
        <sz val="11"/>
        <color theme="1"/>
        <rFont val="Calibri"/>
        <family val="2"/>
        <scheme val="minor"/>
      </rPr>
      <t>(6), e53447.</t>
    </r>
  </si>
  <si>
    <t>PLA-A</t>
  </si>
  <si>
    <t>PLA-B</t>
  </si>
  <si>
    <t>PLA-wheat straw composite (7:3)</t>
  </si>
  <si>
    <t>PLA-wheat straw composite (7:3) with 5 % (wt or volume not stated) sodium alginate</t>
  </si>
  <si>
    <t>Td,onset</t>
  </si>
  <si>
    <t>TGA, N2 atmosphere, 20 C/min</t>
  </si>
  <si>
    <t>GB/T 1040.1-2018</t>
  </si>
  <si>
    <r>
      <t xml:space="preserve">Naik, M. L., Sajjan, A. M., Achappa, S., Khan, T. Y., Banapurmath, N. R., Kalahal, P. B., &amp; Ayachit, N. H. (2022). Nanobacterial Cellulose Production and Its Antibacterial Activity in Biodegradable Poly (vinyl alcohol) Membranes for Food Packaging Applications. </t>
    </r>
    <r>
      <rPr>
        <i/>
        <sz val="11"/>
        <color theme="1"/>
        <rFont val="Calibri"/>
        <family val="2"/>
        <scheme val="minor"/>
      </rPr>
      <t>ACS omega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(48), 43559-43573.</t>
    </r>
  </si>
  <si>
    <t>PVA blend with nanobacterial cellulose</t>
  </si>
  <si>
    <t>Tensile test, no details given</t>
  </si>
  <si>
    <t>M-PVA-10%NBC-NCL</t>
  </si>
  <si>
    <t>PVA blend with 10% nanobacterial cellulose, non crosslinked</t>
  </si>
  <si>
    <t>M-PVA-10%NBC-CL</t>
  </si>
  <si>
    <t>PVA blend with 10% nanobacterial cellulose,  crosslinked</t>
  </si>
  <si>
    <t>Biodegradation in soil at RT.</t>
  </si>
  <si>
    <t>Biodegradation in soil, no details given</t>
  </si>
  <si>
    <t>PLA blend (10%)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</si>
</sst>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Calibri"/>
      <family val="1"/>
      <charset val="2"/>
      <scheme val="minor"/>
    </font>
    <font>
      <b/>
      <sz val="11"/>
      <color theme="1"/>
      <name val="Symbol"/>
      <family val="1"/>
      <charset val="2"/>
    </font>
    <font>
      <b/>
      <sz val="11"/>
      <color theme="1"/>
      <name val="Calibri"/>
      <family val="2"/>
      <charset val="2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/>
    <xf numFmtId="0" fontId="0" fillId="3" borderId="0" xfId="0" applyFill="1" applyAlignment="1">
      <alignment horizontal="left"/>
    </xf>
    <xf numFmtId="9" fontId="0" fillId="0" borderId="0" xfId="0" applyNumberFormat="1" applyAlignment="1">
      <alignment horizontal="left"/>
    </xf>
    <xf numFmtId="0" fontId="3" fillId="0" borderId="0" xfId="1" applyAlignment="1">
      <alignment horizontal="left"/>
    </xf>
    <xf numFmtId="0" fontId="0" fillId="3" borderId="0" xfId="0" applyFill="1" applyAlignment="1">
      <alignment horizontal="left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5" fillId="0" borderId="0" xfId="0" applyFont="1"/>
    <xf numFmtId="0" fontId="7" fillId="0" borderId="0" xfId="0" applyFont="1"/>
    <xf numFmtId="0" fontId="0" fillId="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0" fillId="2" borderId="0" xfId="0" applyFill="1" applyAlignment="1">
      <alignment horizontal="left"/>
    </xf>
    <xf numFmtId="2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/>
    </xf>
    <xf numFmtId="0" fontId="0" fillId="4" borderId="0" xfId="0" applyFill="1" applyAlignment="1">
      <alignment horizontal="left"/>
    </xf>
    <xf numFmtId="0" fontId="0" fillId="4" borderId="0" xfId="0" applyFill="1" applyAlignment="1">
      <alignment horizontal="left" wrapText="1"/>
    </xf>
    <xf numFmtId="0" fontId="0" fillId="4" borderId="0" xfId="0" applyFill="1" applyAlignment="1">
      <alignment horizontal="left" vertical="top"/>
    </xf>
    <xf numFmtId="0" fontId="3" fillId="4" borderId="0" xfId="1" applyFill="1" applyAlignment="1">
      <alignment horizontal="left"/>
    </xf>
    <xf numFmtId="0" fontId="0" fillId="4" borderId="0" xfId="0" applyFill="1"/>
    <xf numFmtId="9" fontId="0" fillId="4" borderId="0" xfId="0" applyNumberFormat="1" applyFill="1" applyAlignment="1">
      <alignment horizontal="left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Commercial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'Properties AB plastics'!$G$62:$G$77</c:f>
              <c:numCache>
                <c:formatCode>General</c:formatCode>
                <c:ptCount val="16"/>
                <c:pt idx="3">
                  <c:v>1.22</c:v>
                </c:pt>
                <c:pt idx="4">
                  <c:v>1.2</c:v>
                </c:pt>
                <c:pt idx="5">
                  <c:v>1.41</c:v>
                </c:pt>
                <c:pt idx="6">
                  <c:v>1.25</c:v>
                </c:pt>
                <c:pt idx="8">
                  <c:v>1.22</c:v>
                </c:pt>
                <c:pt idx="9">
                  <c:v>1.21</c:v>
                </c:pt>
                <c:pt idx="12">
                  <c:v>1.3</c:v>
                </c:pt>
                <c:pt idx="13">
                  <c:v>1.3</c:v>
                </c:pt>
              </c:numCache>
            </c:numRef>
          </c:xVal>
          <c:yVal>
            <c:numRef>
              <c:f>'Properties AB plastics'!$T$62:$T$77</c:f>
              <c:numCache>
                <c:formatCode>General</c:formatCode>
                <c:ptCount val="16"/>
                <c:pt idx="0">
                  <c:v>979</c:v>
                </c:pt>
                <c:pt idx="1">
                  <c:v>414</c:v>
                </c:pt>
                <c:pt idx="2">
                  <c:v>100</c:v>
                </c:pt>
                <c:pt idx="3">
                  <c:v>1750</c:v>
                </c:pt>
                <c:pt idx="4">
                  <c:v>1500</c:v>
                </c:pt>
                <c:pt idx="5">
                  <c:v>180</c:v>
                </c:pt>
                <c:pt idx="7">
                  <c:v>130</c:v>
                </c:pt>
                <c:pt idx="10">
                  <c:v>650</c:v>
                </c:pt>
                <c:pt idx="11">
                  <c:v>1175</c:v>
                </c:pt>
                <c:pt idx="12">
                  <c:v>880</c:v>
                </c:pt>
                <c:pt idx="13">
                  <c:v>1400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22-40B2-B867-255294195E42}"/>
            </c:ext>
          </c:extLst>
        </c:ser>
        <c:ser>
          <c:idx val="1"/>
          <c:order val="1"/>
          <c:tx>
            <c:v>Experimental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'Properties AB plastics'!$G$4:$G$61</c:f>
              <c:numCache>
                <c:formatCode>General</c:formatCode>
                <c:ptCount val="58"/>
                <c:pt idx="0">
                  <c:v>1.47</c:v>
                </c:pt>
                <c:pt idx="6">
                  <c:v>1.4</c:v>
                </c:pt>
                <c:pt idx="7">
                  <c:v>1.5</c:v>
                </c:pt>
                <c:pt idx="8">
                  <c:v>1.6</c:v>
                </c:pt>
                <c:pt idx="9">
                  <c:v>1.3</c:v>
                </c:pt>
                <c:pt idx="10">
                  <c:v>1.5</c:v>
                </c:pt>
                <c:pt idx="11">
                  <c:v>1.5</c:v>
                </c:pt>
                <c:pt idx="12">
                  <c:v>1.3</c:v>
                </c:pt>
                <c:pt idx="13">
                  <c:v>1.4</c:v>
                </c:pt>
                <c:pt idx="14">
                  <c:v>1.4</c:v>
                </c:pt>
                <c:pt idx="15">
                  <c:v>1.3</c:v>
                </c:pt>
                <c:pt idx="16">
                  <c:v>1.4</c:v>
                </c:pt>
                <c:pt idx="17">
                  <c:v>1.4</c:v>
                </c:pt>
                <c:pt idx="40" formatCode="0.00">
                  <c:v>0.32</c:v>
                </c:pt>
                <c:pt idx="41" formatCode="0.00">
                  <c:v>0.45</c:v>
                </c:pt>
                <c:pt idx="42" formatCode="0.00">
                  <c:v>0.46</c:v>
                </c:pt>
                <c:pt idx="43" formatCode="0.00">
                  <c:v>0.56000000000000005</c:v>
                </c:pt>
                <c:pt idx="44" formatCode="0.00">
                  <c:v>0.66</c:v>
                </c:pt>
                <c:pt idx="45">
                  <c:v>0.21</c:v>
                </c:pt>
                <c:pt idx="46">
                  <c:v>0.18</c:v>
                </c:pt>
                <c:pt idx="47">
                  <c:v>0.19</c:v>
                </c:pt>
                <c:pt idx="48">
                  <c:v>0.2</c:v>
                </c:pt>
                <c:pt idx="49">
                  <c:v>0.2</c:v>
                </c:pt>
                <c:pt idx="50">
                  <c:v>0.21</c:v>
                </c:pt>
                <c:pt idx="51">
                  <c:v>0.21</c:v>
                </c:pt>
                <c:pt idx="52">
                  <c:v>0.16</c:v>
                </c:pt>
                <c:pt idx="53">
                  <c:v>0.15</c:v>
                </c:pt>
                <c:pt idx="54">
                  <c:v>0.12</c:v>
                </c:pt>
                <c:pt idx="55">
                  <c:v>1.24</c:v>
                </c:pt>
                <c:pt idx="56">
                  <c:v>1.37</c:v>
                </c:pt>
                <c:pt idx="57">
                  <c:v>1.36</c:v>
                </c:pt>
              </c:numCache>
            </c:numRef>
          </c:xVal>
          <c:yVal>
            <c:numRef>
              <c:f>'Properties AB plastics'!$T$4:$T$61</c:f>
              <c:numCache>
                <c:formatCode>General</c:formatCode>
                <c:ptCount val="58"/>
                <c:pt idx="0">
                  <c:v>2004</c:v>
                </c:pt>
                <c:pt idx="1">
                  <c:v>500</c:v>
                </c:pt>
                <c:pt idx="2">
                  <c:v>390</c:v>
                </c:pt>
                <c:pt idx="3">
                  <c:v>65</c:v>
                </c:pt>
                <c:pt idx="4">
                  <c:v>2800</c:v>
                </c:pt>
                <c:pt idx="5">
                  <c:v>1000</c:v>
                </c:pt>
                <c:pt idx="6">
                  <c:v>960</c:v>
                </c:pt>
                <c:pt idx="7">
                  <c:v>690</c:v>
                </c:pt>
                <c:pt idx="8">
                  <c:v>560</c:v>
                </c:pt>
                <c:pt idx="9">
                  <c:v>120</c:v>
                </c:pt>
                <c:pt idx="10">
                  <c:v>80</c:v>
                </c:pt>
                <c:pt idx="11">
                  <c:v>280</c:v>
                </c:pt>
                <c:pt idx="12">
                  <c:v>60</c:v>
                </c:pt>
                <c:pt idx="13">
                  <c:v>50</c:v>
                </c:pt>
                <c:pt idx="14">
                  <c:v>150</c:v>
                </c:pt>
                <c:pt idx="15">
                  <c:v>30</c:v>
                </c:pt>
                <c:pt idx="16">
                  <c:v>60</c:v>
                </c:pt>
                <c:pt idx="17">
                  <c:v>50</c:v>
                </c:pt>
                <c:pt idx="18">
                  <c:v>173</c:v>
                </c:pt>
                <c:pt idx="19">
                  <c:v>348</c:v>
                </c:pt>
                <c:pt idx="20">
                  <c:v>400</c:v>
                </c:pt>
                <c:pt idx="21">
                  <c:v>520</c:v>
                </c:pt>
                <c:pt idx="23">
                  <c:v>808</c:v>
                </c:pt>
                <c:pt idx="24">
                  <c:v>466</c:v>
                </c:pt>
                <c:pt idx="25">
                  <c:v>870</c:v>
                </c:pt>
                <c:pt idx="26">
                  <c:v>920</c:v>
                </c:pt>
                <c:pt idx="27">
                  <c:v>980</c:v>
                </c:pt>
                <c:pt idx="28">
                  <c:v>1140</c:v>
                </c:pt>
                <c:pt idx="29">
                  <c:v>670</c:v>
                </c:pt>
                <c:pt idx="30">
                  <c:v>453</c:v>
                </c:pt>
                <c:pt idx="31">
                  <c:v>404</c:v>
                </c:pt>
                <c:pt idx="32">
                  <c:v>235</c:v>
                </c:pt>
                <c:pt idx="33">
                  <c:v>216</c:v>
                </c:pt>
                <c:pt idx="34">
                  <c:v>140</c:v>
                </c:pt>
                <c:pt idx="35">
                  <c:v>2380</c:v>
                </c:pt>
                <c:pt idx="36">
                  <c:v>2660</c:v>
                </c:pt>
                <c:pt idx="37">
                  <c:v>2660</c:v>
                </c:pt>
                <c:pt idx="38">
                  <c:v>2550</c:v>
                </c:pt>
                <c:pt idx="39">
                  <c:v>2550</c:v>
                </c:pt>
                <c:pt idx="45">
                  <c:v>55.970000000000006</c:v>
                </c:pt>
                <c:pt idx="46">
                  <c:v>68.31</c:v>
                </c:pt>
                <c:pt idx="47">
                  <c:v>71.05</c:v>
                </c:pt>
                <c:pt idx="48">
                  <c:v>74.389999999999986</c:v>
                </c:pt>
                <c:pt idx="49">
                  <c:v>76.06</c:v>
                </c:pt>
                <c:pt idx="50">
                  <c:v>52.79</c:v>
                </c:pt>
                <c:pt idx="51">
                  <c:v>50.54</c:v>
                </c:pt>
                <c:pt idx="52">
                  <c:v>64.930000000000007</c:v>
                </c:pt>
                <c:pt idx="53">
                  <c:v>43.78</c:v>
                </c:pt>
                <c:pt idx="54">
                  <c:v>27.43</c:v>
                </c:pt>
                <c:pt idx="56">
                  <c:v>130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E22-40B2-B867-255294195E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990752"/>
        <c:axId val="321680047"/>
      </c:scatterChart>
      <c:valAx>
        <c:axId val="444990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1680047"/>
        <c:crosses val="autoZero"/>
        <c:crossBetween val="midCat"/>
      </c:valAx>
      <c:valAx>
        <c:axId val="321680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990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Biodegradation - TS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'Properties AB plastics'!$AX$4:$AX$82</c:f>
              <c:numCache>
                <c:formatCode>General</c:formatCode>
                <c:ptCount val="79"/>
                <c:pt idx="1">
                  <c:v>0.85099999999999998</c:v>
                </c:pt>
                <c:pt idx="2">
                  <c:v>0.99</c:v>
                </c:pt>
                <c:pt idx="3">
                  <c:v>0.21</c:v>
                </c:pt>
                <c:pt idx="4">
                  <c:v>0.16</c:v>
                </c:pt>
                <c:pt idx="5">
                  <c:v>0.99</c:v>
                </c:pt>
                <c:pt idx="18">
                  <c:v>4.41</c:v>
                </c:pt>
                <c:pt idx="19">
                  <c:v>3.78</c:v>
                </c:pt>
                <c:pt idx="20">
                  <c:v>3.08</c:v>
                </c:pt>
                <c:pt idx="21">
                  <c:v>2.4900000000000002</c:v>
                </c:pt>
                <c:pt idx="25">
                  <c:v>4.8600000000000003</c:v>
                </c:pt>
                <c:pt idx="26">
                  <c:v>4.42</c:v>
                </c:pt>
                <c:pt idx="27">
                  <c:v>3.86</c:v>
                </c:pt>
                <c:pt idx="28">
                  <c:v>3.65</c:v>
                </c:pt>
                <c:pt idx="35">
                  <c:v>0.21</c:v>
                </c:pt>
                <c:pt idx="36">
                  <c:v>1.24</c:v>
                </c:pt>
                <c:pt idx="37">
                  <c:v>2.19</c:v>
                </c:pt>
                <c:pt idx="38">
                  <c:v>3.12</c:v>
                </c:pt>
                <c:pt idx="39">
                  <c:v>5.0999999999999996</c:v>
                </c:pt>
                <c:pt idx="40">
                  <c:v>48</c:v>
                </c:pt>
                <c:pt idx="41">
                  <c:v>67</c:v>
                </c:pt>
                <c:pt idx="42">
                  <c:v>69</c:v>
                </c:pt>
                <c:pt idx="43">
                  <c:v>66</c:v>
                </c:pt>
                <c:pt idx="44">
                  <c:v>59</c:v>
                </c:pt>
                <c:pt idx="45" formatCode="0.0">
                  <c:v>-23.890784982935152</c:v>
                </c:pt>
                <c:pt idx="46" formatCode="0.0">
                  <c:v>-7.4074074074073959</c:v>
                </c:pt>
                <c:pt idx="47" formatCode="0.0">
                  <c:v>-12.5</c:v>
                </c:pt>
                <c:pt idx="48" formatCode="0.0">
                  <c:v>-2.5179856115107979</c:v>
                </c:pt>
                <c:pt idx="49" formatCode="0.0">
                  <c:v>18.245614035087719</c:v>
                </c:pt>
                <c:pt idx="50" formatCode="0.0">
                  <c:v>35.443037974683541</c:v>
                </c:pt>
                <c:pt idx="51" formatCode="0.0">
                  <c:v>51.957295373665481</c:v>
                </c:pt>
                <c:pt idx="52" formatCode="0.0">
                  <c:v>30.718954248366014</c:v>
                </c:pt>
                <c:pt idx="53" formatCode="0.0">
                  <c:v>90.566037735849065</c:v>
                </c:pt>
                <c:pt idx="54" formatCode="0.0">
                  <c:v>93.777777777777786</c:v>
                </c:pt>
                <c:pt idx="55">
                  <c:v>90</c:v>
                </c:pt>
                <c:pt idx="56">
                  <c:v>90</c:v>
                </c:pt>
                <c:pt idx="58">
                  <c:v>90</c:v>
                </c:pt>
                <c:pt idx="59">
                  <c:v>90</c:v>
                </c:pt>
                <c:pt idx="60">
                  <c:v>90</c:v>
                </c:pt>
                <c:pt idx="61">
                  <c:v>90</c:v>
                </c:pt>
                <c:pt idx="62">
                  <c:v>90</c:v>
                </c:pt>
                <c:pt idx="63">
                  <c:v>90</c:v>
                </c:pt>
                <c:pt idx="64">
                  <c:v>90</c:v>
                </c:pt>
                <c:pt idx="65">
                  <c:v>90</c:v>
                </c:pt>
                <c:pt idx="66">
                  <c:v>90</c:v>
                </c:pt>
                <c:pt idx="67">
                  <c:v>90</c:v>
                </c:pt>
                <c:pt idx="68">
                  <c:v>90</c:v>
                </c:pt>
                <c:pt idx="69">
                  <c:v>90</c:v>
                </c:pt>
                <c:pt idx="70">
                  <c:v>90</c:v>
                </c:pt>
                <c:pt idx="71">
                  <c:v>90</c:v>
                </c:pt>
                <c:pt idx="72">
                  <c:v>90</c:v>
                </c:pt>
                <c:pt idx="73">
                  <c:v>90</c:v>
                </c:pt>
                <c:pt idx="74">
                  <c:v>40</c:v>
                </c:pt>
                <c:pt idx="75">
                  <c:v>4.2</c:v>
                </c:pt>
                <c:pt idx="76">
                  <c:v>6.8</c:v>
                </c:pt>
                <c:pt idx="77">
                  <c:v>5.5</c:v>
                </c:pt>
                <c:pt idx="78">
                  <c:v>5.5</c:v>
                </c:pt>
              </c:numCache>
            </c:numRef>
          </c:xVal>
          <c:yVal>
            <c:numRef>
              <c:f>'Properties AB plastics'!$Z$4:$Z$82</c:f>
              <c:numCache>
                <c:formatCode>General</c:formatCode>
                <c:ptCount val="79"/>
                <c:pt idx="0">
                  <c:v>42.31</c:v>
                </c:pt>
                <c:pt idx="1">
                  <c:v>40</c:v>
                </c:pt>
                <c:pt idx="2">
                  <c:v>4</c:v>
                </c:pt>
                <c:pt idx="3">
                  <c:v>25</c:v>
                </c:pt>
                <c:pt idx="4">
                  <c:v>44</c:v>
                </c:pt>
                <c:pt idx="5">
                  <c:v>15</c:v>
                </c:pt>
                <c:pt idx="6">
                  <c:v>16.7</c:v>
                </c:pt>
                <c:pt idx="7">
                  <c:v>10.199999999999999</c:v>
                </c:pt>
                <c:pt idx="8">
                  <c:v>8.8000000000000007</c:v>
                </c:pt>
                <c:pt idx="9">
                  <c:v>5.3</c:v>
                </c:pt>
                <c:pt idx="10">
                  <c:v>3.7</c:v>
                </c:pt>
                <c:pt idx="11">
                  <c:v>6</c:v>
                </c:pt>
                <c:pt idx="12">
                  <c:v>3.4</c:v>
                </c:pt>
                <c:pt idx="13">
                  <c:v>2.6</c:v>
                </c:pt>
                <c:pt idx="14">
                  <c:v>4.9000000000000004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54</c:v>
                </c:pt>
                <c:pt idx="19">
                  <c:v>66</c:v>
                </c:pt>
                <c:pt idx="20">
                  <c:v>71</c:v>
                </c:pt>
                <c:pt idx="21">
                  <c:v>85</c:v>
                </c:pt>
                <c:pt idx="23">
                  <c:v>26</c:v>
                </c:pt>
                <c:pt idx="24">
                  <c:v>25</c:v>
                </c:pt>
                <c:pt idx="25">
                  <c:v>57</c:v>
                </c:pt>
                <c:pt idx="26">
                  <c:v>53</c:v>
                </c:pt>
                <c:pt idx="27">
                  <c:v>60</c:v>
                </c:pt>
                <c:pt idx="28">
                  <c:v>67</c:v>
                </c:pt>
                <c:pt idx="40">
                  <c:v>0.63</c:v>
                </c:pt>
                <c:pt idx="41">
                  <c:v>1.31</c:v>
                </c:pt>
                <c:pt idx="42">
                  <c:v>1.57</c:v>
                </c:pt>
                <c:pt idx="43">
                  <c:v>1.82</c:v>
                </c:pt>
                <c:pt idx="44">
                  <c:v>0.91</c:v>
                </c:pt>
                <c:pt idx="45">
                  <c:v>0.4</c:v>
                </c:pt>
                <c:pt idx="46">
                  <c:v>0.39999999999999997</c:v>
                </c:pt>
                <c:pt idx="47">
                  <c:v>0.44</c:v>
                </c:pt>
                <c:pt idx="48">
                  <c:v>0.54999999999999993</c:v>
                </c:pt>
                <c:pt idx="49">
                  <c:v>0.42</c:v>
                </c:pt>
                <c:pt idx="50">
                  <c:v>0.28000000000000003</c:v>
                </c:pt>
                <c:pt idx="51">
                  <c:v>0.26</c:v>
                </c:pt>
                <c:pt idx="52">
                  <c:v>0.45</c:v>
                </c:pt>
                <c:pt idx="53">
                  <c:v>0.30000000000000004</c:v>
                </c:pt>
                <c:pt idx="54">
                  <c:v>0.19</c:v>
                </c:pt>
                <c:pt idx="55">
                  <c:v>24</c:v>
                </c:pt>
                <c:pt idx="56">
                  <c:v>20</c:v>
                </c:pt>
                <c:pt idx="58">
                  <c:v>23.9</c:v>
                </c:pt>
                <c:pt idx="59">
                  <c:v>22.9</c:v>
                </c:pt>
                <c:pt idx="60">
                  <c:v>24</c:v>
                </c:pt>
                <c:pt idx="61">
                  <c:v>25</c:v>
                </c:pt>
                <c:pt idx="62">
                  <c:v>26</c:v>
                </c:pt>
                <c:pt idx="63">
                  <c:v>23</c:v>
                </c:pt>
                <c:pt idx="64">
                  <c:v>35</c:v>
                </c:pt>
                <c:pt idx="65">
                  <c:v>20</c:v>
                </c:pt>
                <c:pt idx="68">
                  <c:v>23.5</c:v>
                </c:pt>
                <c:pt idx="69">
                  <c:v>26.3</c:v>
                </c:pt>
                <c:pt idx="70">
                  <c:v>15</c:v>
                </c:pt>
                <c:pt idx="71">
                  <c:v>16</c:v>
                </c:pt>
                <c:pt idx="72">
                  <c:v>325</c:v>
                </c:pt>
                <c:pt idx="73">
                  <c:v>4</c:v>
                </c:pt>
                <c:pt idx="75">
                  <c:v>28.5</c:v>
                </c:pt>
                <c:pt idx="76">
                  <c:v>29.639999999999997</c:v>
                </c:pt>
                <c:pt idx="77">
                  <c:v>13</c:v>
                </c:pt>
                <c:pt idx="78">
                  <c:v>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9A5-4999-AD3A-6036E4295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990752"/>
        <c:axId val="321680047"/>
      </c:scatterChart>
      <c:valAx>
        <c:axId val="444990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1680047"/>
        <c:crosses val="autoZero"/>
        <c:crossBetween val="midCat"/>
      </c:valAx>
      <c:valAx>
        <c:axId val="321680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990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Biodegradation - TS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'Properties AB plastics'!$AY$4:$AY$82</c:f>
              <c:numCache>
                <c:formatCode>General</c:formatCode>
                <c:ptCount val="79"/>
                <c:pt idx="1">
                  <c:v>150</c:v>
                </c:pt>
                <c:pt idx="2">
                  <c:v>136</c:v>
                </c:pt>
                <c:pt idx="3">
                  <c:v>180</c:v>
                </c:pt>
                <c:pt idx="4">
                  <c:v>180</c:v>
                </c:pt>
                <c:pt idx="5">
                  <c:v>136</c:v>
                </c:pt>
                <c:pt idx="18">
                  <c:v>210</c:v>
                </c:pt>
                <c:pt idx="19">
                  <c:v>210</c:v>
                </c:pt>
                <c:pt idx="20">
                  <c:v>210</c:v>
                </c:pt>
                <c:pt idx="21">
                  <c:v>210</c:v>
                </c:pt>
                <c:pt idx="25">
                  <c:v>210</c:v>
                </c:pt>
                <c:pt idx="26">
                  <c:v>210</c:v>
                </c:pt>
                <c:pt idx="27">
                  <c:v>210</c:v>
                </c:pt>
                <c:pt idx="28">
                  <c:v>210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56</c:v>
                </c:pt>
                <c:pt idx="41">
                  <c:v>56</c:v>
                </c:pt>
                <c:pt idx="42">
                  <c:v>56</c:v>
                </c:pt>
                <c:pt idx="43">
                  <c:v>56</c:v>
                </c:pt>
                <c:pt idx="44">
                  <c:v>56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730</c:v>
                </c:pt>
                <c:pt idx="56">
                  <c:v>730</c:v>
                </c:pt>
                <c:pt idx="58">
                  <c:v>730</c:v>
                </c:pt>
                <c:pt idx="59">
                  <c:v>730</c:v>
                </c:pt>
                <c:pt idx="60">
                  <c:v>730</c:v>
                </c:pt>
                <c:pt idx="61">
                  <c:v>730</c:v>
                </c:pt>
                <c:pt idx="62">
                  <c:v>730</c:v>
                </c:pt>
                <c:pt idx="63">
                  <c:v>730</c:v>
                </c:pt>
                <c:pt idx="64">
                  <c:v>730</c:v>
                </c:pt>
                <c:pt idx="65">
                  <c:v>730</c:v>
                </c:pt>
                <c:pt idx="66">
                  <c:v>730</c:v>
                </c:pt>
                <c:pt idx="67">
                  <c:v>730</c:v>
                </c:pt>
                <c:pt idx="68">
                  <c:v>730</c:v>
                </c:pt>
                <c:pt idx="69">
                  <c:v>730</c:v>
                </c:pt>
                <c:pt idx="70">
                  <c:v>730</c:v>
                </c:pt>
                <c:pt idx="71">
                  <c:v>730</c:v>
                </c:pt>
                <c:pt idx="72">
                  <c:v>730</c:v>
                </c:pt>
                <c:pt idx="73">
                  <c:v>730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</c:numCache>
            </c:numRef>
          </c:xVal>
          <c:yVal>
            <c:numRef>
              <c:f>'Properties AB plastics'!$AX$4:$AX$82</c:f>
              <c:numCache>
                <c:formatCode>General</c:formatCode>
                <c:ptCount val="79"/>
                <c:pt idx="1">
                  <c:v>0.85099999999999998</c:v>
                </c:pt>
                <c:pt idx="2">
                  <c:v>0.99</c:v>
                </c:pt>
                <c:pt idx="3">
                  <c:v>0.21</c:v>
                </c:pt>
                <c:pt idx="4">
                  <c:v>0.16</c:v>
                </c:pt>
                <c:pt idx="5">
                  <c:v>0.99</c:v>
                </c:pt>
                <c:pt idx="18">
                  <c:v>4.41</c:v>
                </c:pt>
                <c:pt idx="19">
                  <c:v>3.78</c:v>
                </c:pt>
                <c:pt idx="20">
                  <c:v>3.08</c:v>
                </c:pt>
                <c:pt idx="21">
                  <c:v>2.4900000000000002</c:v>
                </c:pt>
                <c:pt idx="25">
                  <c:v>4.8600000000000003</c:v>
                </c:pt>
                <c:pt idx="26">
                  <c:v>4.42</c:v>
                </c:pt>
                <c:pt idx="27">
                  <c:v>3.86</c:v>
                </c:pt>
                <c:pt idx="28">
                  <c:v>3.65</c:v>
                </c:pt>
                <c:pt idx="35">
                  <c:v>0.21</c:v>
                </c:pt>
                <c:pt idx="36">
                  <c:v>1.24</c:v>
                </c:pt>
                <c:pt idx="37">
                  <c:v>2.19</c:v>
                </c:pt>
                <c:pt idx="38">
                  <c:v>3.12</c:v>
                </c:pt>
                <c:pt idx="39">
                  <c:v>5.0999999999999996</c:v>
                </c:pt>
                <c:pt idx="40">
                  <c:v>48</c:v>
                </c:pt>
                <c:pt idx="41">
                  <c:v>67</c:v>
                </c:pt>
                <c:pt idx="42">
                  <c:v>69</c:v>
                </c:pt>
                <c:pt idx="43">
                  <c:v>66</c:v>
                </c:pt>
                <c:pt idx="44">
                  <c:v>59</c:v>
                </c:pt>
                <c:pt idx="45" formatCode="0.0">
                  <c:v>-23.890784982935152</c:v>
                </c:pt>
                <c:pt idx="46" formatCode="0.0">
                  <c:v>-7.4074074074073959</c:v>
                </c:pt>
                <c:pt idx="47" formatCode="0.0">
                  <c:v>-12.5</c:v>
                </c:pt>
                <c:pt idx="48" formatCode="0.0">
                  <c:v>-2.5179856115107979</c:v>
                </c:pt>
                <c:pt idx="49" formatCode="0.0">
                  <c:v>18.245614035087719</c:v>
                </c:pt>
                <c:pt idx="50" formatCode="0.0">
                  <c:v>35.443037974683541</c:v>
                </c:pt>
                <c:pt idx="51" formatCode="0.0">
                  <c:v>51.957295373665481</c:v>
                </c:pt>
                <c:pt idx="52" formatCode="0.0">
                  <c:v>30.718954248366014</c:v>
                </c:pt>
                <c:pt idx="53" formatCode="0.0">
                  <c:v>90.566037735849065</c:v>
                </c:pt>
                <c:pt idx="54" formatCode="0.0">
                  <c:v>93.777777777777786</c:v>
                </c:pt>
                <c:pt idx="55">
                  <c:v>90</c:v>
                </c:pt>
                <c:pt idx="56">
                  <c:v>90</c:v>
                </c:pt>
                <c:pt idx="58">
                  <c:v>90</c:v>
                </c:pt>
                <c:pt idx="59">
                  <c:v>90</c:v>
                </c:pt>
                <c:pt idx="60">
                  <c:v>90</c:v>
                </c:pt>
                <c:pt idx="61">
                  <c:v>90</c:v>
                </c:pt>
                <c:pt idx="62">
                  <c:v>90</c:v>
                </c:pt>
                <c:pt idx="63">
                  <c:v>90</c:v>
                </c:pt>
                <c:pt idx="64">
                  <c:v>90</c:v>
                </c:pt>
                <c:pt idx="65">
                  <c:v>90</c:v>
                </c:pt>
                <c:pt idx="66">
                  <c:v>90</c:v>
                </c:pt>
                <c:pt idx="67">
                  <c:v>90</c:v>
                </c:pt>
                <c:pt idx="68">
                  <c:v>90</c:v>
                </c:pt>
                <c:pt idx="69">
                  <c:v>90</c:v>
                </c:pt>
                <c:pt idx="70">
                  <c:v>90</c:v>
                </c:pt>
                <c:pt idx="71">
                  <c:v>90</c:v>
                </c:pt>
                <c:pt idx="72">
                  <c:v>90</c:v>
                </c:pt>
                <c:pt idx="73">
                  <c:v>90</c:v>
                </c:pt>
                <c:pt idx="74">
                  <c:v>40</c:v>
                </c:pt>
                <c:pt idx="75">
                  <c:v>4.2</c:v>
                </c:pt>
                <c:pt idx="76">
                  <c:v>6.8</c:v>
                </c:pt>
                <c:pt idx="77">
                  <c:v>5.5</c:v>
                </c:pt>
                <c:pt idx="78">
                  <c:v>5.5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7B-45A5-9DDA-F9F50182D8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990752"/>
        <c:axId val="321680047"/>
      </c:scatterChart>
      <c:valAx>
        <c:axId val="444990752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1680047"/>
        <c:crosses val="autoZero"/>
        <c:crossBetween val="midCat"/>
      </c:valAx>
      <c:valAx>
        <c:axId val="321680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990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754855</xdr:colOff>
      <xdr:row>83</xdr:row>
      <xdr:rowOff>174306</xdr:rowOff>
    </xdr:from>
    <xdr:to>
      <xdr:col>22</xdr:col>
      <xdr:colOff>693896</xdr:colOff>
      <xdr:row>99</xdr:row>
      <xdr:rowOff>25716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BF608E-ABBA-AC6C-4BF3-C2EF6E7863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84</xdr:row>
      <xdr:rowOff>0</xdr:rowOff>
    </xdr:from>
    <xdr:to>
      <xdr:col>27</xdr:col>
      <xdr:colOff>890588</xdr:colOff>
      <xdr:row>99</xdr:row>
      <xdr:rowOff>32385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1A9E90B-EF2E-4ABE-B33D-6F25772430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0</xdr:colOff>
      <xdr:row>84</xdr:row>
      <xdr:rowOff>0</xdr:rowOff>
    </xdr:from>
    <xdr:to>
      <xdr:col>32</xdr:col>
      <xdr:colOff>537211</xdr:colOff>
      <xdr:row>99</xdr:row>
      <xdr:rowOff>30480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9659D71-A17E-4549-8745-94A749EF23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oi.org/10.1016/j.carbpol.2015.11.041" TargetMode="External"/><Relationship Id="rId13" Type="http://schemas.openxmlformats.org/officeDocument/2006/relationships/hyperlink" Target="https://doi.org/10.1016/j.carbpol.2015.11.041" TargetMode="External"/><Relationship Id="rId18" Type="http://schemas.openxmlformats.org/officeDocument/2006/relationships/hyperlink" Target="https://download.basf.com/p1/8a8082587fd4b608017fd63230bf39c4/en/ecoflex%3Csup%3E%C2%AE%3Csup%3E_F_Blend_C1200_Product_Data_Sheet_English.pdf?view,%20soil%20biodegradable%20according%20to%20TUV%20registry" TargetMode="External"/><Relationship Id="rId3" Type="http://schemas.openxmlformats.org/officeDocument/2006/relationships/hyperlink" Target="https://doi.org/10.1016/j.carbpol.2015.11.041" TargetMode="External"/><Relationship Id="rId7" Type="http://schemas.openxmlformats.org/officeDocument/2006/relationships/hyperlink" Target="https://doi.org/10.1016/j.carbpol.2015.11.041" TargetMode="External"/><Relationship Id="rId12" Type="http://schemas.openxmlformats.org/officeDocument/2006/relationships/hyperlink" Target="https://doi.org/10.1016/j.carbpol.2015.11.041" TargetMode="External"/><Relationship Id="rId17" Type="http://schemas.openxmlformats.org/officeDocument/2006/relationships/hyperlink" Target="https://doi.org/10.1002/app.21905" TargetMode="External"/><Relationship Id="rId2" Type="http://schemas.openxmlformats.org/officeDocument/2006/relationships/hyperlink" Target="https://doi.org/10.1016/j.carbpol.2015.11.041" TargetMode="External"/><Relationship Id="rId16" Type="http://schemas.openxmlformats.org/officeDocument/2006/relationships/hyperlink" Target="https://doi.org/10.1002/app.21905" TargetMode="External"/><Relationship Id="rId20" Type="http://schemas.openxmlformats.org/officeDocument/2006/relationships/drawing" Target="../drawings/drawing1.xml"/><Relationship Id="rId1" Type="http://schemas.openxmlformats.org/officeDocument/2006/relationships/hyperlink" Target="https://doi.org/10.1016/j.carbpol.2015.11.041" TargetMode="External"/><Relationship Id="rId6" Type="http://schemas.openxmlformats.org/officeDocument/2006/relationships/hyperlink" Target="https://doi.org/10.1016/j.carbpol.2015.11.041" TargetMode="External"/><Relationship Id="rId11" Type="http://schemas.openxmlformats.org/officeDocument/2006/relationships/hyperlink" Target="https://doi.org/10.1016/j.carbpol.2015.11.041" TargetMode="External"/><Relationship Id="rId5" Type="http://schemas.openxmlformats.org/officeDocument/2006/relationships/hyperlink" Target="https://doi.org/10.1016/j.carbpol.2015.11.041" TargetMode="External"/><Relationship Id="rId15" Type="http://schemas.openxmlformats.org/officeDocument/2006/relationships/hyperlink" Target="https://doi.org/10.1002/app.21905" TargetMode="External"/><Relationship Id="rId10" Type="http://schemas.openxmlformats.org/officeDocument/2006/relationships/hyperlink" Target="https://doi.org/10.1016/j.carbpol.2015.11.041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s://doi.org/10.1016/j.carbpol.2015.11.041" TargetMode="External"/><Relationship Id="rId9" Type="http://schemas.openxmlformats.org/officeDocument/2006/relationships/hyperlink" Target="https://doi.org/10.1016/j.carbpol.2015.11.041" TargetMode="External"/><Relationship Id="rId14" Type="http://schemas.openxmlformats.org/officeDocument/2006/relationships/hyperlink" Target="https://doi.org/10.1002/app.2190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B93B6-DF65-420C-A776-2402730C638B}">
  <dimension ref="A1:BQ82"/>
  <sheetViews>
    <sheetView tabSelected="1" zoomScale="90" zoomScaleNormal="90" workbookViewId="0">
      <pane xSplit="3" ySplit="3" topLeftCell="D4" activePane="bottomRight" state="frozen"/>
      <selection pane="topRight" activeCell="C1" sqref="C1"/>
      <selection pane="bottomLeft" activeCell="A4" sqref="A4"/>
      <selection pane="bottomRight" activeCell="B13" sqref="B13"/>
    </sheetView>
  </sheetViews>
  <sheetFormatPr defaultColWidth="8.8984375" defaultRowHeight="14.4"/>
  <cols>
    <col min="1" max="1" width="18" style="2" bestFit="1" customWidth="1"/>
    <col min="2" max="2" width="18" style="2" customWidth="1"/>
    <col min="3" max="3" width="19.296875" style="2" bestFit="1" customWidth="1"/>
    <col min="4" max="4" width="23.296875" style="3" customWidth="1"/>
    <col min="5" max="5" width="44.8984375" style="3" customWidth="1"/>
    <col min="6" max="6" width="21.3984375" style="3" customWidth="1"/>
    <col min="7" max="7" width="10.59765625" style="1" bestFit="1" customWidth="1"/>
    <col min="8" max="8" width="12.59765625" style="2" customWidth="1"/>
    <col min="9" max="19" width="13.69921875" style="2" customWidth="1"/>
    <col min="20" max="21" width="14.3984375" style="2" customWidth="1"/>
    <col min="22" max="22" width="11.296875" style="2" bestFit="1" customWidth="1"/>
    <col min="23" max="25" width="11.296875" style="2" customWidth="1"/>
    <col min="26" max="28" width="15.59765625" style="2" customWidth="1"/>
    <col min="29" max="29" width="15.3984375" style="2" bestFit="1" customWidth="1"/>
    <col min="30" max="30" width="15.3984375" style="2" customWidth="1"/>
    <col min="31" max="37" width="14" style="2" customWidth="1"/>
    <col min="38" max="40" width="11.69921875" style="2" customWidth="1"/>
    <col min="41" max="41" width="13.296875" style="2" customWidth="1"/>
    <col min="42" max="42" width="12.296875" style="2" bestFit="1" customWidth="1"/>
    <col min="43" max="43" width="11.69921875" style="2" customWidth="1"/>
    <col min="44" max="45" width="12.59765625" style="2" customWidth="1"/>
    <col min="46" max="46" width="11.296875" style="2" bestFit="1" customWidth="1"/>
    <col min="47" max="49" width="11.296875" style="2" customWidth="1"/>
    <col min="50" max="50" width="16" style="2" customWidth="1"/>
    <col min="51" max="55" width="11.69921875" style="2" customWidth="1"/>
    <col min="56" max="56" width="14.69921875" style="2" customWidth="1"/>
    <col min="57" max="61" width="15.59765625" style="2" customWidth="1"/>
    <col min="62" max="62" width="15.296875" style="2" customWidth="1"/>
    <col min="63" max="63" width="12.3984375" style="2" customWidth="1"/>
    <col min="64" max="64" width="16.296875" style="2" customWidth="1"/>
    <col min="65" max="66" width="14" style="2" customWidth="1"/>
    <col min="67" max="67" width="12" style="2" bestFit="1" customWidth="1"/>
    <col min="68" max="68" width="14" style="2" bestFit="1" customWidth="1"/>
    <col min="69" max="69" width="16.3984375" style="2" customWidth="1"/>
    <col min="70" max="16384" width="8.8984375" style="2"/>
  </cols>
  <sheetData>
    <row r="1" spans="1:69" s="4" customFormat="1">
      <c r="A1" s="28" t="s">
        <v>11</v>
      </c>
      <c r="B1" s="10"/>
      <c r="C1" s="29" t="s">
        <v>88</v>
      </c>
      <c r="D1" s="29"/>
      <c r="E1" s="29"/>
      <c r="F1" s="29"/>
      <c r="G1" s="28" t="s">
        <v>89</v>
      </c>
      <c r="H1" s="28"/>
      <c r="I1" s="28" t="s">
        <v>90</v>
      </c>
      <c r="J1" s="28"/>
      <c r="K1" s="28"/>
      <c r="L1" s="28"/>
      <c r="M1" s="28"/>
      <c r="N1" s="28"/>
      <c r="O1" s="28"/>
      <c r="P1" s="28"/>
      <c r="Q1" s="28"/>
      <c r="R1" s="28"/>
      <c r="S1" s="28"/>
      <c r="T1" s="28" t="s">
        <v>91</v>
      </c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10"/>
      <c r="AV1" s="10"/>
      <c r="AW1" s="10"/>
      <c r="AX1" s="28" t="s">
        <v>0</v>
      </c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</row>
    <row r="2" spans="1:69" s="4" customFormat="1" ht="14.4" customHeight="1">
      <c r="A2" s="28"/>
      <c r="B2" s="10"/>
      <c r="C2" s="28" t="s">
        <v>16</v>
      </c>
      <c r="D2" s="29" t="s">
        <v>12</v>
      </c>
      <c r="E2" s="29" t="s">
        <v>13</v>
      </c>
      <c r="F2" s="29" t="s">
        <v>329</v>
      </c>
      <c r="G2" s="28" t="s">
        <v>25</v>
      </c>
      <c r="H2" s="28"/>
      <c r="I2" s="28" t="s">
        <v>36</v>
      </c>
      <c r="J2" s="28"/>
      <c r="K2" s="28"/>
      <c r="L2" s="28" t="s">
        <v>37</v>
      </c>
      <c r="M2" s="28"/>
      <c r="N2" s="28"/>
      <c r="O2" s="10"/>
      <c r="P2" s="28" t="s">
        <v>106</v>
      </c>
      <c r="Q2" s="28"/>
      <c r="R2" s="28"/>
      <c r="S2" s="28"/>
      <c r="T2" s="28" t="s">
        <v>109</v>
      </c>
      <c r="U2" s="28"/>
      <c r="V2" s="28"/>
      <c r="W2" s="29" t="s">
        <v>150</v>
      </c>
      <c r="X2" s="29"/>
      <c r="Y2" s="29"/>
      <c r="Z2" s="28" t="s">
        <v>18</v>
      </c>
      <c r="AA2" s="28"/>
      <c r="AB2" s="28"/>
      <c r="AC2" s="28" t="s">
        <v>24</v>
      </c>
      <c r="AD2" s="28"/>
      <c r="AE2" s="28"/>
      <c r="AF2" s="28" t="s">
        <v>268</v>
      </c>
      <c r="AG2" s="28"/>
      <c r="AH2" s="28"/>
      <c r="AI2" s="28" t="s">
        <v>279</v>
      </c>
      <c r="AJ2" s="28"/>
      <c r="AK2" s="28"/>
      <c r="AL2" s="28" t="s">
        <v>125</v>
      </c>
      <c r="AM2" s="28"/>
      <c r="AN2" s="28"/>
      <c r="AO2" s="28" t="s">
        <v>135</v>
      </c>
      <c r="AP2" s="28"/>
      <c r="AQ2" s="28"/>
      <c r="AR2" s="28" t="s">
        <v>21</v>
      </c>
      <c r="AS2" s="28"/>
      <c r="AT2" s="28"/>
      <c r="AU2" s="28" t="s">
        <v>248</v>
      </c>
      <c r="AV2" s="28"/>
      <c r="AW2" s="28"/>
      <c r="AX2" s="28" t="s">
        <v>47</v>
      </c>
      <c r="AY2" s="28"/>
      <c r="AZ2" s="28"/>
      <c r="BA2" s="28"/>
      <c r="BB2" s="28"/>
      <c r="BC2" s="28"/>
      <c r="BD2" s="28"/>
      <c r="BE2" s="28"/>
      <c r="BF2" s="27" t="s">
        <v>48</v>
      </c>
      <c r="BG2" s="27"/>
      <c r="BH2" s="27"/>
      <c r="BI2" s="27"/>
      <c r="BJ2" s="28" t="s">
        <v>128</v>
      </c>
      <c r="BK2" s="28"/>
      <c r="BL2" s="28"/>
      <c r="BM2" s="28"/>
      <c r="BN2" s="28" t="s">
        <v>49</v>
      </c>
      <c r="BO2" s="28"/>
      <c r="BP2" s="28"/>
      <c r="BQ2" s="28"/>
    </row>
    <row r="3" spans="1:69" s="4" customFormat="1" ht="43.2">
      <c r="A3" s="28"/>
      <c r="B3" s="10" t="s">
        <v>285</v>
      </c>
      <c r="C3" s="28"/>
      <c r="D3" s="29"/>
      <c r="E3" s="29"/>
      <c r="F3" s="29"/>
      <c r="G3" s="5" t="s">
        <v>79</v>
      </c>
      <c r="H3" s="5" t="s">
        <v>19</v>
      </c>
      <c r="I3" s="5" t="s">
        <v>80</v>
      </c>
      <c r="J3" s="5" t="s">
        <v>81</v>
      </c>
      <c r="K3" s="5" t="s">
        <v>19</v>
      </c>
      <c r="L3" s="5" t="s">
        <v>82</v>
      </c>
      <c r="M3" s="5" t="s">
        <v>83</v>
      </c>
      <c r="N3" s="5" t="s">
        <v>19</v>
      </c>
      <c r="O3" s="5" t="s">
        <v>348</v>
      </c>
      <c r="P3" s="5" t="s">
        <v>103</v>
      </c>
      <c r="Q3" s="5" t="s">
        <v>104</v>
      </c>
      <c r="R3" s="5" t="s">
        <v>105</v>
      </c>
      <c r="S3" s="10" t="s">
        <v>19</v>
      </c>
      <c r="T3" s="5" t="s">
        <v>39</v>
      </c>
      <c r="U3" s="5" t="s">
        <v>40</v>
      </c>
      <c r="V3" s="5" t="s">
        <v>19</v>
      </c>
      <c r="W3" s="5" t="s">
        <v>151</v>
      </c>
      <c r="X3" s="5" t="s">
        <v>152</v>
      </c>
      <c r="Y3" s="5" t="s">
        <v>19</v>
      </c>
      <c r="Z3" s="14" t="s">
        <v>84</v>
      </c>
      <c r="AA3" s="14" t="s">
        <v>85</v>
      </c>
      <c r="AB3" s="5" t="s">
        <v>19</v>
      </c>
      <c r="AC3" s="15" t="s">
        <v>86</v>
      </c>
      <c r="AD3" s="15" t="s">
        <v>87</v>
      </c>
      <c r="AE3" s="5" t="s">
        <v>19</v>
      </c>
      <c r="AF3" s="5" t="s">
        <v>270</v>
      </c>
      <c r="AG3" s="5" t="s">
        <v>269</v>
      </c>
      <c r="AH3" s="5" t="s">
        <v>19</v>
      </c>
      <c r="AI3" s="5" t="s">
        <v>280</v>
      </c>
      <c r="AJ3" s="5" t="s">
        <v>281</v>
      </c>
      <c r="AK3" s="5" t="s">
        <v>19</v>
      </c>
      <c r="AL3" s="17" t="s">
        <v>126</v>
      </c>
      <c r="AM3" s="17" t="s">
        <v>127</v>
      </c>
      <c r="AN3" s="17" t="s">
        <v>19</v>
      </c>
      <c r="AO3" s="17" t="s">
        <v>137</v>
      </c>
      <c r="AP3" s="17" t="s">
        <v>136</v>
      </c>
      <c r="AQ3" s="17" t="s">
        <v>19</v>
      </c>
      <c r="AR3" s="12" t="s">
        <v>134</v>
      </c>
      <c r="AS3" s="12" t="s">
        <v>133</v>
      </c>
      <c r="AT3" s="5" t="s">
        <v>19</v>
      </c>
      <c r="AU3" s="17" t="s">
        <v>250</v>
      </c>
      <c r="AV3" s="17" t="s">
        <v>249</v>
      </c>
      <c r="AW3" s="17" t="s">
        <v>19</v>
      </c>
      <c r="AX3" s="11" t="s">
        <v>42</v>
      </c>
      <c r="AY3" s="11" t="s">
        <v>27</v>
      </c>
      <c r="AZ3" s="11" t="s">
        <v>42</v>
      </c>
      <c r="BA3" s="11" t="s">
        <v>27</v>
      </c>
      <c r="BB3" s="11" t="s">
        <v>42</v>
      </c>
      <c r="BC3" s="11" t="s">
        <v>27</v>
      </c>
      <c r="BD3" s="13" t="s">
        <v>45</v>
      </c>
      <c r="BE3" s="10" t="s">
        <v>19</v>
      </c>
      <c r="BF3" s="13" t="s">
        <v>93</v>
      </c>
      <c r="BG3" s="13" t="s">
        <v>92</v>
      </c>
      <c r="BH3" s="13" t="s">
        <v>45</v>
      </c>
      <c r="BI3" s="10" t="s">
        <v>19</v>
      </c>
      <c r="BJ3" s="11" t="s">
        <v>42</v>
      </c>
      <c r="BK3" s="11" t="s">
        <v>27</v>
      </c>
      <c r="BL3" s="13" t="s">
        <v>45</v>
      </c>
      <c r="BM3" s="10" t="s">
        <v>19</v>
      </c>
      <c r="BN3" s="11" t="s">
        <v>42</v>
      </c>
      <c r="BO3" s="11" t="s">
        <v>27</v>
      </c>
      <c r="BP3" s="13" t="s">
        <v>45</v>
      </c>
      <c r="BQ3" s="10" t="s">
        <v>19</v>
      </c>
    </row>
    <row r="4" spans="1:69" ht="28.8">
      <c r="A4" s="2" t="s">
        <v>1</v>
      </c>
      <c r="C4" s="2" t="s">
        <v>17</v>
      </c>
      <c r="D4" s="3" t="s">
        <v>14</v>
      </c>
      <c r="E4" s="3" t="s">
        <v>15</v>
      </c>
      <c r="F4" s="3" t="s">
        <v>28</v>
      </c>
      <c r="G4" s="2">
        <v>1.47</v>
      </c>
      <c r="H4" s="2" t="s">
        <v>26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2">
        <v>2004</v>
      </c>
      <c r="U4" s="2">
        <v>2004</v>
      </c>
      <c r="V4" s="2" t="s">
        <v>20</v>
      </c>
      <c r="W4" s="6"/>
      <c r="X4" s="6"/>
      <c r="Y4" s="6"/>
      <c r="Z4" s="2">
        <v>42.31</v>
      </c>
      <c r="AA4" s="2">
        <v>42.31</v>
      </c>
      <c r="AB4" s="2" t="s">
        <v>20</v>
      </c>
      <c r="AC4" s="2">
        <v>2.38</v>
      </c>
      <c r="AD4" s="2">
        <v>2.38</v>
      </c>
      <c r="AE4" s="2" t="s">
        <v>20</v>
      </c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2">
        <v>85.8</v>
      </c>
      <c r="AS4" s="2">
        <v>85.8</v>
      </c>
      <c r="AT4" s="2" t="s">
        <v>22</v>
      </c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7">
        <v>0.08</v>
      </c>
      <c r="BG4" s="7">
        <v>0.35</v>
      </c>
      <c r="BH4" s="2" t="s">
        <v>28</v>
      </c>
      <c r="BI4" s="8" t="s">
        <v>23</v>
      </c>
      <c r="BJ4" s="6"/>
      <c r="BK4" s="6"/>
      <c r="BL4" s="6"/>
      <c r="BM4" s="6"/>
      <c r="BN4" s="6"/>
      <c r="BO4" s="6"/>
      <c r="BP4" s="6"/>
      <c r="BQ4" s="6"/>
    </row>
    <row r="5" spans="1:69">
      <c r="A5" s="2" t="s">
        <v>2</v>
      </c>
      <c r="C5" s="2" t="s">
        <v>29</v>
      </c>
      <c r="D5" s="3" t="s">
        <v>34</v>
      </c>
      <c r="E5" s="3" t="s">
        <v>34</v>
      </c>
      <c r="F5" s="3" t="s">
        <v>38</v>
      </c>
      <c r="G5" s="6"/>
      <c r="H5" s="6"/>
      <c r="I5" s="2">
        <v>-33</v>
      </c>
      <c r="J5" s="2">
        <v>-33</v>
      </c>
      <c r="K5" s="2" t="s">
        <v>38</v>
      </c>
      <c r="L5" s="2">
        <v>112</v>
      </c>
      <c r="M5" s="2">
        <v>128</v>
      </c>
      <c r="N5" s="2" t="s">
        <v>38</v>
      </c>
      <c r="O5" s="6"/>
      <c r="P5" s="6"/>
      <c r="Q5" s="6"/>
      <c r="R5" s="6"/>
      <c r="S5" s="6"/>
      <c r="T5" s="2">
        <v>500</v>
      </c>
      <c r="U5" s="2">
        <v>500</v>
      </c>
      <c r="V5" s="2" t="s">
        <v>38</v>
      </c>
      <c r="W5" s="6"/>
      <c r="X5" s="6"/>
      <c r="Y5" s="6"/>
      <c r="Z5" s="2">
        <v>40</v>
      </c>
      <c r="AA5" s="2">
        <v>60</v>
      </c>
      <c r="AB5" s="2" t="s">
        <v>38</v>
      </c>
      <c r="AC5" s="2">
        <v>170</v>
      </c>
      <c r="AD5" s="2">
        <v>500</v>
      </c>
      <c r="AE5" s="2" t="s">
        <v>38</v>
      </c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2">
        <v>0.85099999999999998</v>
      </c>
      <c r="AY5" s="2">
        <v>150</v>
      </c>
      <c r="BD5" s="2" t="s">
        <v>38</v>
      </c>
      <c r="BE5" s="2" t="s">
        <v>46</v>
      </c>
      <c r="BF5" s="6"/>
      <c r="BG5" s="6"/>
      <c r="BH5" s="6"/>
      <c r="BI5" s="6"/>
      <c r="BJ5" s="2">
        <v>2</v>
      </c>
      <c r="BK5" s="2">
        <v>117</v>
      </c>
      <c r="BL5" s="2" t="s">
        <v>38</v>
      </c>
      <c r="BM5" s="2" t="s">
        <v>50</v>
      </c>
      <c r="BN5" s="6"/>
      <c r="BO5" s="6"/>
      <c r="BP5" s="6"/>
      <c r="BQ5" s="6"/>
    </row>
    <row r="6" spans="1:69">
      <c r="A6" s="2" t="s">
        <v>2</v>
      </c>
      <c r="C6" s="2" t="s">
        <v>30</v>
      </c>
      <c r="D6" s="3" t="s">
        <v>35</v>
      </c>
      <c r="E6" s="3" t="s">
        <v>35</v>
      </c>
      <c r="F6" s="3" t="s">
        <v>38</v>
      </c>
      <c r="G6" s="6"/>
      <c r="H6" s="6"/>
      <c r="I6" s="2">
        <v>-60</v>
      </c>
      <c r="J6" s="2">
        <v>-60</v>
      </c>
      <c r="K6" s="2" t="s">
        <v>38</v>
      </c>
      <c r="L6" s="2">
        <v>60</v>
      </c>
      <c r="M6" s="2">
        <v>60</v>
      </c>
      <c r="N6" s="2" t="s">
        <v>38</v>
      </c>
      <c r="O6" s="6"/>
      <c r="P6" s="6"/>
      <c r="Q6" s="6"/>
      <c r="R6" s="6"/>
      <c r="S6" s="6"/>
      <c r="T6" s="2">
        <v>390</v>
      </c>
      <c r="U6" s="2">
        <v>470</v>
      </c>
      <c r="V6" s="2" t="s">
        <v>38</v>
      </c>
      <c r="W6" s="6"/>
      <c r="X6" s="6"/>
      <c r="Y6" s="6"/>
      <c r="Z6" s="2">
        <v>4</v>
      </c>
      <c r="AA6" s="2">
        <v>28</v>
      </c>
      <c r="AB6" s="2" t="s">
        <v>38</v>
      </c>
      <c r="AC6" s="2">
        <v>700</v>
      </c>
      <c r="AD6" s="2">
        <v>1000</v>
      </c>
      <c r="AE6" s="2" t="s">
        <v>38</v>
      </c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2">
        <v>0.99</v>
      </c>
      <c r="AY6" s="2">
        <v>136</v>
      </c>
      <c r="BD6" s="2" t="s">
        <v>38</v>
      </c>
      <c r="BE6" s="2" t="s">
        <v>46</v>
      </c>
      <c r="BF6" s="6"/>
      <c r="BG6" s="6"/>
      <c r="BH6" s="6"/>
      <c r="BI6" s="6"/>
      <c r="BJ6" s="2">
        <v>50</v>
      </c>
      <c r="BK6" s="2">
        <v>56</v>
      </c>
      <c r="BL6" s="2" t="s">
        <v>38</v>
      </c>
      <c r="BM6" s="2" t="s">
        <v>50</v>
      </c>
      <c r="BN6" s="6"/>
      <c r="BO6" s="6"/>
      <c r="BP6" s="6"/>
      <c r="BQ6" s="6"/>
    </row>
    <row r="7" spans="1:69" ht="28.8">
      <c r="A7" s="2" t="s">
        <v>2</v>
      </c>
      <c r="C7" s="2" t="s">
        <v>31</v>
      </c>
      <c r="D7" s="3" t="s">
        <v>43</v>
      </c>
      <c r="E7" s="3" t="s">
        <v>43</v>
      </c>
      <c r="F7" s="3" t="s">
        <v>38</v>
      </c>
      <c r="G7" s="6"/>
      <c r="H7" s="6"/>
      <c r="I7" s="2">
        <v>-30</v>
      </c>
      <c r="J7" s="2">
        <v>-30</v>
      </c>
      <c r="K7" s="2" t="s">
        <v>38</v>
      </c>
      <c r="L7" s="2">
        <v>110</v>
      </c>
      <c r="M7" s="2">
        <v>115</v>
      </c>
      <c r="N7" s="2" t="s">
        <v>38</v>
      </c>
      <c r="O7" s="6"/>
      <c r="P7" s="6"/>
      <c r="Q7" s="6"/>
      <c r="R7" s="6"/>
      <c r="S7" s="6"/>
      <c r="T7" s="2">
        <v>65</v>
      </c>
      <c r="U7" s="2">
        <v>90</v>
      </c>
      <c r="V7" s="2" t="s">
        <v>38</v>
      </c>
      <c r="W7" s="6"/>
      <c r="X7" s="6"/>
      <c r="Y7" s="6"/>
      <c r="Z7" s="2">
        <v>25</v>
      </c>
      <c r="AA7" s="2">
        <v>40</v>
      </c>
      <c r="AB7" s="2" t="s">
        <v>38</v>
      </c>
      <c r="AC7" s="2">
        <v>500</v>
      </c>
      <c r="AD7" s="2">
        <v>800</v>
      </c>
      <c r="AE7" s="2" t="s">
        <v>38</v>
      </c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2">
        <v>0.21</v>
      </c>
      <c r="AY7" s="2">
        <v>180</v>
      </c>
      <c r="BD7" s="2" t="s">
        <v>38</v>
      </c>
      <c r="BE7" s="2" t="s">
        <v>46</v>
      </c>
      <c r="BF7" s="6"/>
      <c r="BG7" s="6"/>
      <c r="BH7" s="6"/>
      <c r="BI7" s="6"/>
      <c r="BJ7" s="2">
        <v>7</v>
      </c>
      <c r="BK7" s="2">
        <v>42</v>
      </c>
      <c r="BL7" s="2" t="s">
        <v>38</v>
      </c>
      <c r="BM7" s="2" t="s">
        <v>50</v>
      </c>
      <c r="BN7" s="6"/>
      <c r="BO7" s="6"/>
      <c r="BP7" s="6"/>
      <c r="BQ7" s="6"/>
    </row>
    <row r="8" spans="1:69">
      <c r="A8" s="2" t="s">
        <v>2</v>
      </c>
      <c r="C8" s="2" t="s">
        <v>32</v>
      </c>
      <c r="D8" s="3" t="s">
        <v>41</v>
      </c>
      <c r="E8" s="3" t="s">
        <v>41</v>
      </c>
      <c r="F8" s="3" t="s">
        <v>38</v>
      </c>
      <c r="G8" s="6"/>
      <c r="H8" s="6"/>
      <c r="I8" s="2">
        <v>50</v>
      </c>
      <c r="J8" s="2">
        <v>80</v>
      </c>
      <c r="K8" s="2" t="s">
        <v>38</v>
      </c>
      <c r="L8" s="2">
        <v>130</v>
      </c>
      <c r="M8" s="2">
        <v>180</v>
      </c>
      <c r="N8" s="2" t="s">
        <v>38</v>
      </c>
      <c r="O8" s="6"/>
      <c r="P8" s="6"/>
      <c r="Q8" s="6"/>
      <c r="R8" s="6"/>
      <c r="S8" s="6"/>
      <c r="T8" s="2">
        <v>2800</v>
      </c>
      <c r="U8" s="2">
        <v>3500</v>
      </c>
      <c r="V8" s="2" t="s">
        <v>38</v>
      </c>
      <c r="W8" s="6"/>
      <c r="X8" s="6"/>
      <c r="Y8" s="6"/>
      <c r="Z8" s="2">
        <v>44</v>
      </c>
      <c r="AA8" s="2">
        <v>65</v>
      </c>
      <c r="AB8" s="2" t="s">
        <v>38</v>
      </c>
      <c r="AC8" s="2">
        <v>10</v>
      </c>
      <c r="AD8" s="2">
        <v>240</v>
      </c>
      <c r="AE8" s="2" t="s">
        <v>38</v>
      </c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2">
        <v>0.16</v>
      </c>
      <c r="AY8" s="2">
        <v>180</v>
      </c>
      <c r="BD8" s="2" t="s">
        <v>38</v>
      </c>
      <c r="BE8" s="2" t="s">
        <v>46</v>
      </c>
      <c r="BF8" s="6"/>
      <c r="BG8" s="6"/>
      <c r="BH8" s="6"/>
      <c r="BI8" s="6"/>
      <c r="BJ8" s="2">
        <v>1</v>
      </c>
      <c r="BK8" s="2">
        <v>28</v>
      </c>
      <c r="BL8" s="2" t="s">
        <v>38</v>
      </c>
      <c r="BM8" s="2" t="s">
        <v>50</v>
      </c>
      <c r="BN8" s="6"/>
      <c r="BO8" s="6"/>
      <c r="BP8" s="6"/>
      <c r="BQ8" s="6"/>
    </row>
    <row r="9" spans="1:69">
      <c r="A9" s="2" t="s">
        <v>2</v>
      </c>
      <c r="C9" s="2" t="s">
        <v>33</v>
      </c>
      <c r="D9" s="2" t="s">
        <v>44</v>
      </c>
      <c r="E9" s="2" t="s">
        <v>44</v>
      </c>
      <c r="F9" s="3" t="s">
        <v>38</v>
      </c>
      <c r="G9" s="6"/>
      <c r="H9" s="6"/>
      <c r="I9" s="2">
        <v>2</v>
      </c>
      <c r="J9" s="2">
        <v>2</v>
      </c>
      <c r="K9" s="2" t="s">
        <v>38</v>
      </c>
      <c r="L9" s="2">
        <v>160</v>
      </c>
      <c r="M9" s="2">
        <v>175</v>
      </c>
      <c r="N9" s="2" t="s">
        <v>38</v>
      </c>
      <c r="O9" s="6"/>
      <c r="P9" s="6"/>
      <c r="Q9" s="6"/>
      <c r="R9" s="6"/>
      <c r="S9" s="6"/>
      <c r="T9" s="2">
        <v>1000</v>
      </c>
      <c r="U9" s="2">
        <v>2000</v>
      </c>
      <c r="V9" s="2" t="s">
        <v>38</v>
      </c>
      <c r="W9" s="6"/>
      <c r="X9" s="6"/>
      <c r="Y9" s="6"/>
      <c r="Z9" s="2">
        <v>15</v>
      </c>
      <c r="AA9" s="2">
        <v>40</v>
      </c>
      <c r="AB9" s="2" t="s">
        <v>38</v>
      </c>
      <c r="AC9" s="2">
        <v>6</v>
      </c>
      <c r="AD9" s="2">
        <v>8</v>
      </c>
      <c r="AE9" s="2" t="s">
        <v>38</v>
      </c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2">
        <v>0.99</v>
      </c>
      <c r="AY9" s="2">
        <v>136</v>
      </c>
      <c r="BD9" s="2" t="s">
        <v>38</v>
      </c>
      <c r="BE9" s="2" t="s">
        <v>46</v>
      </c>
      <c r="BF9" s="6"/>
      <c r="BG9" s="6"/>
      <c r="BH9" s="6"/>
      <c r="BI9" s="6"/>
      <c r="BJ9" s="2">
        <v>65</v>
      </c>
      <c r="BK9" s="2">
        <v>35</v>
      </c>
      <c r="BL9" s="2" t="s">
        <v>38</v>
      </c>
      <c r="BM9" s="2" t="s">
        <v>50</v>
      </c>
      <c r="BN9" s="6"/>
      <c r="BO9" s="6"/>
      <c r="BP9" s="6"/>
      <c r="BQ9" s="6"/>
    </row>
    <row r="10" spans="1:69" ht="28.8">
      <c r="A10" s="2" t="s">
        <v>3</v>
      </c>
      <c r="C10" s="2" t="s">
        <v>52</v>
      </c>
      <c r="D10" s="3" t="s">
        <v>51</v>
      </c>
      <c r="E10" s="3" t="s">
        <v>64</v>
      </c>
      <c r="F10" s="3" t="s">
        <v>28</v>
      </c>
      <c r="G10" s="2">
        <v>1.4</v>
      </c>
      <c r="H10" s="2" t="s">
        <v>76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2">
        <v>960</v>
      </c>
      <c r="U10" s="2">
        <v>1280</v>
      </c>
      <c r="V10" s="3" t="s">
        <v>78</v>
      </c>
      <c r="W10" s="16"/>
      <c r="X10" s="16"/>
      <c r="Y10" s="16"/>
      <c r="Z10" s="2">
        <v>16.7</v>
      </c>
      <c r="AA10" s="2">
        <v>18.100000000000001</v>
      </c>
      <c r="AB10" s="3" t="s">
        <v>78</v>
      </c>
      <c r="AC10" s="2">
        <v>6.7</v>
      </c>
      <c r="AD10" s="2">
        <v>14.5</v>
      </c>
      <c r="AE10" s="3" t="s">
        <v>78</v>
      </c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2">
        <v>94</v>
      </c>
      <c r="AS10" s="2">
        <v>94</v>
      </c>
      <c r="AT10" s="2" t="s">
        <v>77</v>
      </c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7">
        <v>1</v>
      </c>
      <c r="BH10" s="2" t="s">
        <v>28</v>
      </c>
      <c r="BI10" s="8" t="s">
        <v>23</v>
      </c>
      <c r="BJ10" s="6"/>
      <c r="BK10" s="6"/>
      <c r="BL10" s="6"/>
      <c r="BM10" s="6"/>
      <c r="BN10" s="6"/>
      <c r="BO10" s="6"/>
      <c r="BP10" s="6"/>
      <c r="BQ10" s="6"/>
    </row>
    <row r="11" spans="1:69" ht="28.8">
      <c r="A11" s="2" t="s">
        <v>3</v>
      </c>
      <c r="C11" s="2" t="s">
        <v>53</v>
      </c>
      <c r="D11" s="3" t="s">
        <v>51</v>
      </c>
      <c r="E11" s="3" t="s">
        <v>65</v>
      </c>
      <c r="F11" s="3" t="s">
        <v>28</v>
      </c>
      <c r="G11" s="2">
        <v>1.5</v>
      </c>
      <c r="H11" s="2" t="s">
        <v>76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2">
        <v>690</v>
      </c>
      <c r="U11" s="2">
        <v>854</v>
      </c>
      <c r="V11" s="3" t="s">
        <v>78</v>
      </c>
      <c r="W11" s="16"/>
      <c r="X11" s="16"/>
      <c r="Y11" s="16"/>
      <c r="Z11" s="2">
        <v>10.199999999999999</v>
      </c>
      <c r="AA11" s="2">
        <v>11.9</v>
      </c>
      <c r="AB11" s="3" t="s">
        <v>78</v>
      </c>
      <c r="AC11" s="2">
        <v>9.8000000000000007</v>
      </c>
      <c r="AD11" s="2">
        <v>15.4</v>
      </c>
      <c r="AE11" s="3" t="s">
        <v>78</v>
      </c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2">
        <v>91</v>
      </c>
      <c r="AS11" s="2">
        <v>91</v>
      </c>
      <c r="AT11" s="2" t="s">
        <v>77</v>
      </c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7">
        <v>1</v>
      </c>
      <c r="BH11" s="2" t="s">
        <v>28</v>
      </c>
      <c r="BI11" s="8" t="s">
        <v>23</v>
      </c>
      <c r="BJ11" s="6"/>
      <c r="BK11" s="6"/>
      <c r="BL11" s="6"/>
      <c r="BM11" s="6"/>
      <c r="BN11" s="6"/>
      <c r="BO11" s="6"/>
      <c r="BP11" s="6"/>
      <c r="BQ11" s="6"/>
    </row>
    <row r="12" spans="1:69" ht="28.8">
      <c r="A12" s="2" t="s">
        <v>3</v>
      </c>
      <c r="C12" s="2" t="s">
        <v>54</v>
      </c>
      <c r="D12" s="3" t="s">
        <v>51</v>
      </c>
      <c r="E12" s="3" t="s">
        <v>66</v>
      </c>
      <c r="F12" s="3" t="s">
        <v>28</v>
      </c>
      <c r="G12" s="2">
        <v>1.6</v>
      </c>
      <c r="H12" s="2" t="s">
        <v>76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2">
        <v>560</v>
      </c>
      <c r="U12" s="2">
        <v>666</v>
      </c>
      <c r="V12" s="3" t="s">
        <v>78</v>
      </c>
      <c r="W12" s="16"/>
      <c r="X12" s="16"/>
      <c r="Y12" s="16"/>
      <c r="Z12" s="2">
        <v>8.8000000000000007</v>
      </c>
      <c r="AA12" s="2">
        <v>9.1999999999999993</v>
      </c>
      <c r="AB12" s="3" t="s">
        <v>78</v>
      </c>
      <c r="AC12" s="2">
        <v>19</v>
      </c>
      <c r="AD12" s="2">
        <v>24</v>
      </c>
      <c r="AE12" s="3" t="s">
        <v>78</v>
      </c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2">
        <v>93</v>
      </c>
      <c r="AS12" s="2">
        <v>93</v>
      </c>
      <c r="AT12" s="2" t="s">
        <v>77</v>
      </c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7">
        <v>1</v>
      </c>
      <c r="BH12" s="2" t="s">
        <v>28</v>
      </c>
      <c r="BI12" s="8" t="s">
        <v>23</v>
      </c>
      <c r="BJ12" s="6"/>
      <c r="BK12" s="6"/>
      <c r="BL12" s="6"/>
      <c r="BM12" s="6"/>
      <c r="BN12" s="6"/>
      <c r="BO12" s="6"/>
      <c r="BP12" s="6"/>
      <c r="BQ12" s="6"/>
    </row>
    <row r="13" spans="1:69" ht="28.8">
      <c r="A13" s="2" t="s">
        <v>3</v>
      </c>
      <c r="C13" s="2" t="s">
        <v>55</v>
      </c>
      <c r="D13" s="3" t="s">
        <v>51</v>
      </c>
      <c r="E13" s="3" t="s">
        <v>67</v>
      </c>
      <c r="F13" s="3" t="s">
        <v>28</v>
      </c>
      <c r="G13" s="2">
        <v>1.3</v>
      </c>
      <c r="H13" s="2" t="s">
        <v>76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2">
        <v>120</v>
      </c>
      <c r="U13" s="2">
        <v>140</v>
      </c>
      <c r="V13" s="3" t="s">
        <v>78</v>
      </c>
      <c r="W13" s="16"/>
      <c r="X13" s="16"/>
      <c r="Y13" s="16"/>
      <c r="Z13" s="2">
        <v>5.3</v>
      </c>
      <c r="AA13" s="2">
        <v>5.3</v>
      </c>
      <c r="AB13" s="3" t="s">
        <v>78</v>
      </c>
      <c r="AC13" s="2">
        <v>43.1</v>
      </c>
      <c r="AD13" s="2">
        <v>48.4</v>
      </c>
      <c r="AE13" s="3" t="s">
        <v>78</v>
      </c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2">
        <v>74</v>
      </c>
      <c r="AS13" s="2">
        <v>74</v>
      </c>
      <c r="AT13" s="2" t="s">
        <v>77</v>
      </c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7">
        <v>1</v>
      </c>
      <c r="BH13" s="2" t="s">
        <v>28</v>
      </c>
      <c r="BI13" s="8" t="s">
        <v>23</v>
      </c>
      <c r="BJ13" s="6"/>
      <c r="BK13" s="6"/>
      <c r="BL13" s="6"/>
      <c r="BM13" s="6"/>
      <c r="BN13" s="6"/>
      <c r="BO13" s="6"/>
      <c r="BP13" s="6"/>
      <c r="BQ13" s="6"/>
    </row>
    <row r="14" spans="1:69" ht="28.8">
      <c r="A14" s="2" t="s">
        <v>3</v>
      </c>
      <c r="C14" s="2" t="s">
        <v>56</v>
      </c>
      <c r="D14" s="3" t="s">
        <v>51</v>
      </c>
      <c r="E14" s="3" t="s">
        <v>68</v>
      </c>
      <c r="F14" s="3" t="s">
        <v>28</v>
      </c>
      <c r="G14" s="2">
        <v>1.5</v>
      </c>
      <c r="H14" s="2" t="s">
        <v>76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2">
        <v>80</v>
      </c>
      <c r="U14" s="2">
        <v>110</v>
      </c>
      <c r="V14" s="3" t="s">
        <v>78</v>
      </c>
      <c r="W14" s="16"/>
      <c r="X14" s="16"/>
      <c r="Y14" s="16"/>
      <c r="Z14" s="2">
        <v>3.7</v>
      </c>
      <c r="AA14" s="2">
        <v>4.2</v>
      </c>
      <c r="AB14" s="3" t="s">
        <v>78</v>
      </c>
      <c r="AC14" s="2">
        <v>35.1</v>
      </c>
      <c r="AD14" s="2">
        <v>40.1</v>
      </c>
      <c r="AE14" s="3" t="s">
        <v>78</v>
      </c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2">
        <v>79</v>
      </c>
      <c r="AS14" s="2">
        <v>79</v>
      </c>
      <c r="AT14" s="2" t="s">
        <v>77</v>
      </c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7">
        <v>1</v>
      </c>
      <c r="BH14" s="2" t="s">
        <v>28</v>
      </c>
      <c r="BI14" s="8" t="s">
        <v>23</v>
      </c>
      <c r="BJ14" s="6"/>
      <c r="BK14" s="6"/>
      <c r="BL14" s="6"/>
      <c r="BM14" s="6"/>
      <c r="BN14" s="6"/>
      <c r="BO14" s="6"/>
      <c r="BP14" s="6"/>
      <c r="BQ14" s="6"/>
    </row>
    <row r="15" spans="1:69" ht="28.8">
      <c r="A15" s="2" t="s">
        <v>3</v>
      </c>
      <c r="C15" s="2" t="s">
        <v>57</v>
      </c>
      <c r="D15" s="3" t="s">
        <v>51</v>
      </c>
      <c r="E15" s="3" t="s">
        <v>69</v>
      </c>
      <c r="F15" s="3" t="s">
        <v>28</v>
      </c>
      <c r="G15" s="2">
        <v>1.5</v>
      </c>
      <c r="H15" s="2" t="s">
        <v>76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2">
        <v>280</v>
      </c>
      <c r="U15" s="2">
        <v>420</v>
      </c>
      <c r="V15" s="3" t="s">
        <v>78</v>
      </c>
      <c r="W15" s="16"/>
      <c r="X15" s="16"/>
      <c r="Y15" s="16"/>
      <c r="Z15" s="2">
        <v>6</v>
      </c>
      <c r="AA15" s="2">
        <v>7</v>
      </c>
      <c r="AB15" s="3" t="s">
        <v>78</v>
      </c>
      <c r="AC15" s="2">
        <v>18.399999999999999</v>
      </c>
      <c r="AD15" s="2">
        <v>28.1</v>
      </c>
      <c r="AE15" s="3" t="s">
        <v>78</v>
      </c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2">
        <v>89</v>
      </c>
      <c r="AS15" s="2">
        <v>89</v>
      </c>
      <c r="AT15" s="2" t="s">
        <v>77</v>
      </c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7">
        <v>1</v>
      </c>
      <c r="BH15" s="2" t="s">
        <v>28</v>
      </c>
      <c r="BI15" s="8" t="s">
        <v>23</v>
      </c>
      <c r="BJ15" s="6"/>
      <c r="BK15" s="6"/>
      <c r="BL15" s="6"/>
      <c r="BM15" s="6"/>
      <c r="BN15" s="6"/>
      <c r="BO15" s="6"/>
      <c r="BP15" s="6"/>
      <c r="BQ15" s="6"/>
    </row>
    <row r="16" spans="1:69" ht="28.8">
      <c r="A16" s="2" t="s">
        <v>3</v>
      </c>
      <c r="C16" s="2" t="s">
        <v>58</v>
      </c>
      <c r="D16" s="3" t="s">
        <v>51</v>
      </c>
      <c r="E16" s="3" t="s">
        <v>70</v>
      </c>
      <c r="F16" s="3" t="s">
        <v>28</v>
      </c>
      <c r="G16" s="2">
        <v>1.3</v>
      </c>
      <c r="H16" s="2" t="s">
        <v>76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2">
        <v>60</v>
      </c>
      <c r="U16" s="2">
        <v>80</v>
      </c>
      <c r="V16" s="3" t="s">
        <v>78</v>
      </c>
      <c r="W16" s="16"/>
      <c r="X16" s="16"/>
      <c r="Y16" s="16"/>
      <c r="Z16" s="2">
        <v>3.4</v>
      </c>
      <c r="AA16" s="2">
        <v>3.7</v>
      </c>
      <c r="AB16" s="3" t="s">
        <v>78</v>
      </c>
      <c r="AC16" s="2">
        <v>48.2</v>
      </c>
      <c r="AD16" s="2">
        <v>54.8</v>
      </c>
      <c r="AE16" s="3" t="s">
        <v>78</v>
      </c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2">
        <v>72</v>
      </c>
      <c r="AS16" s="2">
        <v>72</v>
      </c>
      <c r="AT16" s="2" t="s">
        <v>77</v>
      </c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7">
        <v>1</v>
      </c>
      <c r="BH16" s="2" t="s">
        <v>28</v>
      </c>
      <c r="BI16" s="8" t="s">
        <v>23</v>
      </c>
      <c r="BJ16" s="6"/>
      <c r="BK16" s="6"/>
      <c r="BL16" s="6"/>
      <c r="BM16" s="6"/>
      <c r="BN16" s="6"/>
      <c r="BO16" s="6"/>
      <c r="BP16" s="6"/>
      <c r="BQ16" s="6"/>
    </row>
    <row r="17" spans="1:69" ht="28.8">
      <c r="A17" s="2" t="s">
        <v>3</v>
      </c>
      <c r="C17" s="2" t="s">
        <v>59</v>
      </c>
      <c r="D17" s="3" t="s">
        <v>51</v>
      </c>
      <c r="E17" s="3" t="s">
        <v>71</v>
      </c>
      <c r="F17" s="3" t="s">
        <v>28</v>
      </c>
      <c r="G17" s="2">
        <v>1.4</v>
      </c>
      <c r="H17" s="2" t="s">
        <v>76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2">
        <v>50</v>
      </c>
      <c r="U17" s="2">
        <v>60</v>
      </c>
      <c r="V17" s="3" t="s">
        <v>78</v>
      </c>
      <c r="W17" s="16"/>
      <c r="X17" s="16"/>
      <c r="Y17" s="16"/>
      <c r="Z17" s="2">
        <v>2.6</v>
      </c>
      <c r="AA17" s="2">
        <v>2.7</v>
      </c>
      <c r="AB17" s="3" t="s">
        <v>78</v>
      </c>
      <c r="AC17" s="2">
        <v>34.200000000000003</v>
      </c>
      <c r="AD17" s="2">
        <v>39</v>
      </c>
      <c r="AE17" s="3" t="s">
        <v>78</v>
      </c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2">
        <v>73</v>
      </c>
      <c r="AS17" s="2">
        <v>73</v>
      </c>
      <c r="AT17" s="2" t="s">
        <v>77</v>
      </c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7">
        <v>1</v>
      </c>
      <c r="BH17" s="2" t="s">
        <v>28</v>
      </c>
      <c r="BI17" s="8" t="s">
        <v>23</v>
      </c>
      <c r="BJ17" s="6"/>
      <c r="BK17" s="6"/>
      <c r="BL17" s="6"/>
      <c r="BM17" s="6"/>
      <c r="BN17" s="6"/>
      <c r="BO17" s="6"/>
      <c r="BP17" s="6"/>
      <c r="BQ17" s="6"/>
    </row>
    <row r="18" spans="1:69" ht="28.8">
      <c r="A18" s="2" t="s">
        <v>3</v>
      </c>
      <c r="C18" s="2" t="s">
        <v>60</v>
      </c>
      <c r="D18" s="3" t="s">
        <v>51</v>
      </c>
      <c r="E18" s="3" t="s">
        <v>72</v>
      </c>
      <c r="F18" s="3" t="s">
        <v>28</v>
      </c>
      <c r="G18" s="2">
        <v>1.4</v>
      </c>
      <c r="H18" s="2" t="s">
        <v>76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2">
        <v>150</v>
      </c>
      <c r="U18" s="2">
        <v>210</v>
      </c>
      <c r="V18" s="3" t="s">
        <v>78</v>
      </c>
      <c r="W18" s="16"/>
      <c r="X18" s="16"/>
      <c r="Y18" s="16"/>
      <c r="Z18" s="2">
        <v>4.9000000000000004</v>
      </c>
      <c r="AA18" s="2">
        <v>5.7</v>
      </c>
      <c r="AB18" s="3" t="s">
        <v>78</v>
      </c>
      <c r="AC18" s="2">
        <v>29.7</v>
      </c>
      <c r="AD18" s="2">
        <v>36.6</v>
      </c>
      <c r="AE18" s="3" t="s">
        <v>78</v>
      </c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2">
        <v>83</v>
      </c>
      <c r="AS18" s="2">
        <v>83</v>
      </c>
      <c r="AT18" s="2" t="s">
        <v>77</v>
      </c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7">
        <v>1</v>
      </c>
      <c r="BH18" s="2" t="s">
        <v>28</v>
      </c>
      <c r="BI18" s="8" t="s">
        <v>23</v>
      </c>
      <c r="BJ18" s="6"/>
      <c r="BK18" s="6"/>
      <c r="BL18" s="6"/>
      <c r="BM18" s="6"/>
      <c r="BN18" s="6"/>
      <c r="BO18" s="6"/>
      <c r="BP18" s="6"/>
      <c r="BQ18" s="6"/>
    </row>
    <row r="19" spans="1:69" ht="28.8">
      <c r="A19" s="2" t="s">
        <v>3</v>
      </c>
      <c r="C19" s="2" t="s">
        <v>61</v>
      </c>
      <c r="D19" s="3" t="s">
        <v>51</v>
      </c>
      <c r="E19" s="3" t="s">
        <v>73</v>
      </c>
      <c r="F19" s="3" t="s">
        <v>28</v>
      </c>
      <c r="G19" s="2">
        <v>1.3</v>
      </c>
      <c r="H19" s="2" t="s">
        <v>76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2">
        <v>30</v>
      </c>
      <c r="U19" s="2">
        <v>60</v>
      </c>
      <c r="V19" s="3" t="s">
        <v>78</v>
      </c>
      <c r="W19" s="16"/>
      <c r="X19" s="16"/>
      <c r="Y19" s="16"/>
      <c r="Z19" s="2">
        <v>2</v>
      </c>
      <c r="AA19" s="2">
        <v>2.2000000000000002</v>
      </c>
      <c r="AB19" s="3" t="s">
        <v>78</v>
      </c>
      <c r="AC19" s="2">
        <v>38.700000000000003</v>
      </c>
      <c r="AD19" s="2">
        <v>43.4</v>
      </c>
      <c r="AE19" s="3" t="s">
        <v>78</v>
      </c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2">
        <v>63</v>
      </c>
      <c r="AS19" s="2">
        <v>63</v>
      </c>
      <c r="AT19" s="2" t="s">
        <v>77</v>
      </c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7">
        <v>1</v>
      </c>
      <c r="BH19" s="2" t="s">
        <v>28</v>
      </c>
      <c r="BI19" s="8" t="s">
        <v>23</v>
      </c>
      <c r="BJ19" s="6"/>
      <c r="BK19" s="6"/>
      <c r="BL19" s="6"/>
      <c r="BM19" s="6"/>
      <c r="BN19" s="6"/>
      <c r="BO19" s="6"/>
      <c r="BP19" s="6"/>
      <c r="BQ19" s="6"/>
    </row>
    <row r="20" spans="1:69" ht="28.8">
      <c r="A20" s="2" t="s">
        <v>3</v>
      </c>
      <c r="C20" s="2" t="s">
        <v>62</v>
      </c>
      <c r="D20" s="3" t="s">
        <v>51</v>
      </c>
      <c r="E20" s="3" t="s">
        <v>74</v>
      </c>
      <c r="F20" s="3" t="s">
        <v>28</v>
      </c>
      <c r="G20" s="2">
        <v>1.4</v>
      </c>
      <c r="H20" s="2" t="s">
        <v>76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2">
        <v>60</v>
      </c>
      <c r="U20" s="2">
        <v>70</v>
      </c>
      <c r="V20" s="3" t="s">
        <v>78</v>
      </c>
      <c r="W20" s="16"/>
      <c r="X20" s="16"/>
      <c r="Y20" s="16"/>
      <c r="Z20" s="2">
        <v>3</v>
      </c>
      <c r="AA20" s="2">
        <v>3</v>
      </c>
      <c r="AB20" s="3" t="s">
        <v>78</v>
      </c>
      <c r="AC20" s="2">
        <v>47.8</v>
      </c>
      <c r="AD20" s="2">
        <v>53.9</v>
      </c>
      <c r="AE20" s="3" t="s">
        <v>78</v>
      </c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2">
        <v>74</v>
      </c>
      <c r="AS20" s="2">
        <v>74</v>
      </c>
      <c r="AT20" s="2" t="s">
        <v>77</v>
      </c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7">
        <v>1</v>
      </c>
      <c r="BH20" s="2" t="s">
        <v>28</v>
      </c>
      <c r="BI20" s="8" t="s">
        <v>23</v>
      </c>
      <c r="BJ20" s="6"/>
      <c r="BK20" s="6"/>
      <c r="BL20" s="6"/>
      <c r="BM20" s="6"/>
      <c r="BN20" s="6"/>
      <c r="BO20" s="6"/>
      <c r="BP20" s="6"/>
      <c r="BQ20" s="6"/>
    </row>
    <row r="21" spans="1:69" ht="28.8">
      <c r="A21" s="2" t="s">
        <v>3</v>
      </c>
      <c r="C21" s="2" t="s">
        <v>63</v>
      </c>
      <c r="D21" s="3" t="s">
        <v>51</v>
      </c>
      <c r="E21" s="3" t="s">
        <v>75</v>
      </c>
      <c r="F21" s="3" t="s">
        <v>28</v>
      </c>
      <c r="G21" s="2">
        <v>1.4</v>
      </c>
      <c r="H21" s="2" t="s">
        <v>76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2">
        <v>50</v>
      </c>
      <c r="U21" s="2">
        <v>60</v>
      </c>
      <c r="V21" s="3" t="s">
        <v>78</v>
      </c>
      <c r="W21" s="16"/>
      <c r="X21" s="16"/>
      <c r="Y21" s="16"/>
      <c r="Z21" s="2">
        <v>3</v>
      </c>
      <c r="AA21" s="2">
        <v>3.3</v>
      </c>
      <c r="AB21" s="3" t="s">
        <v>78</v>
      </c>
      <c r="AC21" s="2">
        <v>40.799999999999997</v>
      </c>
      <c r="AD21" s="2">
        <v>44.3</v>
      </c>
      <c r="AE21" s="3" t="s">
        <v>78</v>
      </c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2">
        <v>79</v>
      </c>
      <c r="AS21" s="2">
        <v>79</v>
      </c>
      <c r="AT21" s="2" t="s">
        <v>77</v>
      </c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7">
        <v>1</v>
      </c>
      <c r="BH21" s="2" t="s">
        <v>28</v>
      </c>
      <c r="BI21" s="8" t="s">
        <v>23</v>
      </c>
      <c r="BJ21" s="6"/>
      <c r="BK21" s="6"/>
      <c r="BL21" s="6"/>
      <c r="BM21" s="6"/>
      <c r="BN21" s="6"/>
      <c r="BO21" s="6"/>
      <c r="BP21" s="6"/>
      <c r="BQ21" s="6"/>
    </row>
    <row r="22" spans="1:69" ht="57.6">
      <c r="A22" s="2" t="s">
        <v>138</v>
      </c>
      <c r="C22" s="2" t="s">
        <v>94</v>
      </c>
      <c r="D22" s="3" t="s">
        <v>98</v>
      </c>
      <c r="E22" s="3" t="s">
        <v>99</v>
      </c>
      <c r="F22" s="3" t="s">
        <v>113</v>
      </c>
      <c r="G22" s="9"/>
      <c r="H22" s="6"/>
      <c r="I22" s="2">
        <v>51</v>
      </c>
      <c r="J22" s="2">
        <v>51</v>
      </c>
      <c r="K22" s="2" t="s">
        <v>108</v>
      </c>
      <c r="L22" s="2">
        <v>143</v>
      </c>
      <c r="M22" s="2">
        <v>143</v>
      </c>
      <c r="N22" s="2" t="s">
        <v>108</v>
      </c>
      <c r="O22" s="6"/>
      <c r="P22" s="2">
        <v>327</v>
      </c>
      <c r="Q22" s="2">
        <v>385</v>
      </c>
      <c r="R22" s="2">
        <v>386</v>
      </c>
      <c r="S22" s="2" t="s">
        <v>107</v>
      </c>
      <c r="T22" s="2">
        <v>173</v>
      </c>
      <c r="U22" s="2">
        <v>185</v>
      </c>
      <c r="V22" s="2" t="s">
        <v>110</v>
      </c>
      <c r="W22" s="6"/>
      <c r="X22" s="6"/>
      <c r="Y22" s="6"/>
      <c r="Z22" s="2">
        <v>54</v>
      </c>
      <c r="AA22" s="2">
        <v>58</v>
      </c>
      <c r="AB22" s="2" t="s">
        <v>110</v>
      </c>
      <c r="AC22" s="2">
        <v>220</v>
      </c>
      <c r="AD22" s="2">
        <v>280</v>
      </c>
      <c r="AE22" s="2" t="s">
        <v>110</v>
      </c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2">
        <v>4.41</v>
      </c>
      <c r="AY22" s="2">
        <v>210</v>
      </c>
      <c r="BD22" s="2" t="s">
        <v>111</v>
      </c>
      <c r="BE22" s="8" t="s">
        <v>112</v>
      </c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</row>
    <row r="23" spans="1:69" ht="43.2">
      <c r="A23" s="2" t="s">
        <v>138</v>
      </c>
      <c r="C23" s="2" t="s">
        <v>95</v>
      </c>
      <c r="D23" s="3" t="s">
        <v>98</v>
      </c>
      <c r="E23" s="3" t="s">
        <v>100</v>
      </c>
      <c r="F23" s="3" t="s">
        <v>113</v>
      </c>
      <c r="G23" s="9"/>
      <c r="H23" s="6"/>
      <c r="I23" s="2">
        <v>64</v>
      </c>
      <c r="J23" s="2">
        <v>64</v>
      </c>
      <c r="K23" s="2" t="s">
        <v>108</v>
      </c>
      <c r="L23" s="2">
        <v>157</v>
      </c>
      <c r="M23" s="2">
        <v>157</v>
      </c>
      <c r="N23" s="2" t="s">
        <v>108</v>
      </c>
      <c r="O23" s="6"/>
      <c r="P23" s="2">
        <v>354</v>
      </c>
      <c r="Q23" s="2">
        <v>403</v>
      </c>
      <c r="R23" s="2">
        <v>401</v>
      </c>
      <c r="S23" s="2" t="s">
        <v>107</v>
      </c>
      <c r="T23" s="2">
        <v>348</v>
      </c>
      <c r="U23" s="2">
        <v>364</v>
      </c>
      <c r="V23" s="2" t="s">
        <v>110</v>
      </c>
      <c r="W23" s="6"/>
      <c r="X23" s="6"/>
      <c r="Y23" s="6"/>
      <c r="Z23" s="2">
        <v>66</v>
      </c>
      <c r="AA23" s="2">
        <v>70</v>
      </c>
      <c r="AB23" s="2" t="s">
        <v>110</v>
      </c>
      <c r="AC23" s="2">
        <v>280</v>
      </c>
      <c r="AD23" s="2">
        <v>340</v>
      </c>
      <c r="AE23" s="2" t="s">
        <v>110</v>
      </c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2">
        <v>3.78</v>
      </c>
      <c r="AY23" s="2">
        <v>210</v>
      </c>
      <c r="BD23" s="2" t="s">
        <v>111</v>
      </c>
      <c r="BE23" s="8" t="s">
        <v>112</v>
      </c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</row>
    <row r="24" spans="1:69" ht="43.2">
      <c r="A24" s="2" t="s">
        <v>138</v>
      </c>
      <c r="C24" s="2" t="s">
        <v>96</v>
      </c>
      <c r="D24" s="3" t="s">
        <v>98</v>
      </c>
      <c r="E24" s="3" t="s">
        <v>101</v>
      </c>
      <c r="F24" s="3" t="s">
        <v>113</v>
      </c>
      <c r="G24" s="9"/>
      <c r="H24" s="6"/>
      <c r="I24" s="2">
        <v>93</v>
      </c>
      <c r="J24" s="2">
        <v>93</v>
      </c>
      <c r="K24" s="2" t="s">
        <v>108</v>
      </c>
      <c r="L24" s="2">
        <v>179</v>
      </c>
      <c r="M24" s="2">
        <v>179</v>
      </c>
      <c r="N24" s="2" t="s">
        <v>108</v>
      </c>
      <c r="O24" s="6"/>
      <c r="P24" s="2">
        <v>381</v>
      </c>
      <c r="Q24" s="2">
        <v>416</v>
      </c>
      <c r="R24" s="2">
        <v>414</v>
      </c>
      <c r="S24" s="2" t="s">
        <v>107</v>
      </c>
      <c r="T24" s="2">
        <v>400</v>
      </c>
      <c r="U24" s="2">
        <v>420</v>
      </c>
      <c r="V24" s="2" t="s">
        <v>110</v>
      </c>
      <c r="W24" s="6"/>
      <c r="X24" s="6"/>
      <c r="Y24" s="6"/>
      <c r="Z24" s="2">
        <v>71</v>
      </c>
      <c r="AA24" s="2">
        <v>75</v>
      </c>
      <c r="AB24" s="2" t="s">
        <v>110</v>
      </c>
      <c r="AC24" s="2">
        <v>260</v>
      </c>
      <c r="AD24" s="2">
        <v>320</v>
      </c>
      <c r="AE24" s="2" t="s">
        <v>110</v>
      </c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2">
        <v>3.08</v>
      </c>
      <c r="AY24" s="2">
        <v>210</v>
      </c>
      <c r="BD24" s="2" t="s">
        <v>111</v>
      </c>
      <c r="BE24" s="8" t="s">
        <v>112</v>
      </c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</row>
    <row r="25" spans="1:69" ht="57.6">
      <c r="A25" s="2" t="s">
        <v>138</v>
      </c>
      <c r="C25" s="2" t="s">
        <v>97</v>
      </c>
      <c r="D25" s="3" t="s">
        <v>98</v>
      </c>
      <c r="E25" s="3" t="s">
        <v>102</v>
      </c>
      <c r="F25" s="3" t="s">
        <v>113</v>
      </c>
      <c r="G25" s="9"/>
      <c r="H25" s="6"/>
      <c r="I25" s="2">
        <v>120</v>
      </c>
      <c r="J25" s="2">
        <v>120</v>
      </c>
      <c r="K25" s="2" t="s">
        <v>108</v>
      </c>
      <c r="L25" s="2">
        <v>196</v>
      </c>
      <c r="M25" s="2">
        <v>196</v>
      </c>
      <c r="N25" s="2" t="s">
        <v>108</v>
      </c>
      <c r="O25" s="6"/>
      <c r="P25" s="2">
        <v>389</v>
      </c>
      <c r="Q25" s="2">
        <v>427</v>
      </c>
      <c r="R25" s="2">
        <v>426</v>
      </c>
      <c r="S25" s="2" t="s">
        <v>107</v>
      </c>
      <c r="T25" s="2">
        <v>520</v>
      </c>
      <c r="U25" s="2">
        <v>560</v>
      </c>
      <c r="V25" s="2" t="s">
        <v>110</v>
      </c>
      <c r="W25" s="6"/>
      <c r="X25" s="6"/>
      <c r="Y25" s="6"/>
      <c r="Z25" s="2">
        <v>85</v>
      </c>
      <c r="AA25" s="2">
        <v>89</v>
      </c>
      <c r="AB25" s="2" t="s">
        <v>110</v>
      </c>
      <c r="AC25" s="2">
        <v>260</v>
      </c>
      <c r="AD25" s="2">
        <v>320</v>
      </c>
      <c r="AE25" s="2" t="s">
        <v>110</v>
      </c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2">
        <v>2.4900000000000002</v>
      </c>
      <c r="AY25" s="2">
        <v>210</v>
      </c>
      <c r="BD25" s="2" t="s">
        <v>111</v>
      </c>
      <c r="BE25" s="8" t="s">
        <v>112</v>
      </c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</row>
    <row r="26" spans="1:69">
      <c r="A26" s="2" t="s">
        <v>4</v>
      </c>
      <c r="C26" s="2" t="s">
        <v>114</v>
      </c>
      <c r="D26" s="3" t="s">
        <v>131</v>
      </c>
      <c r="E26" s="3" t="s">
        <v>117</v>
      </c>
      <c r="F26" s="3" t="s">
        <v>121</v>
      </c>
      <c r="G26" s="9"/>
      <c r="H26" s="6"/>
      <c r="I26" s="2">
        <v>6</v>
      </c>
      <c r="J26" s="2">
        <v>6</v>
      </c>
      <c r="K26" s="2" t="s">
        <v>122</v>
      </c>
      <c r="L26" s="2">
        <v>178</v>
      </c>
      <c r="M26" s="2">
        <v>178</v>
      </c>
      <c r="N26" s="2" t="s">
        <v>123</v>
      </c>
      <c r="O26" s="6"/>
      <c r="P26" s="6"/>
      <c r="Q26" s="6"/>
      <c r="R26" s="6"/>
      <c r="S26" s="2" t="s">
        <v>124</v>
      </c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</row>
    <row r="27" spans="1:69" ht="28.8">
      <c r="A27" s="2" t="s">
        <v>4</v>
      </c>
      <c r="C27" s="2" t="s">
        <v>115</v>
      </c>
      <c r="D27" s="3" t="s">
        <v>131</v>
      </c>
      <c r="E27" s="3" t="s">
        <v>118</v>
      </c>
      <c r="F27" s="3" t="s">
        <v>120</v>
      </c>
      <c r="G27" s="9"/>
      <c r="H27" s="6"/>
      <c r="I27" s="2">
        <v>7</v>
      </c>
      <c r="J27" s="2">
        <v>7</v>
      </c>
      <c r="K27" s="2" t="s">
        <v>122</v>
      </c>
      <c r="L27" s="2">
        <v>159</v>
      </c>
      <c r="M27" s="2">
        <v>173</v>
      </c>
      <c r="N27" s="2" t="s">
        <v>123</v>
      </c>
      <c r="O27" s="6"/>
      <c r="P27" s="2">
        <v>269</v>
      </c>
      <c r="Q27" s="2">
        <v>343</v>
      </c>
      <c r="R27" s="18"/>
      <c r="S27" s="2" t="s">
        <v>124</v>
      </c>
      <c r="T27" s="2">
        <f>897-89</f>
        <v>808</v>
      </c>
      <c r="U27" s="2">
        <f>897+89</f>
        <v>986</v>
      </c>
      <c r="V27" s="18"/>
      <c r="W27" s="6"/>
      <c r="X27" s="6"/>
      <c r="Y27" s="6"/>
      <c r="Z27" s="2">
        <v>26</v>
      </c>
      <c r="AA27" s="2">
        <v>28</v>
      </c>
      <c r="AB27" s="18"/>
      <c r="AC27" s="2">
        <v>18</v>
      </c>
      <c r="AD27" s="2">
        <v>42</v>
      </c>
      <c r="AE27" s="18"/>
      <c r="AF27" s="6"/>
      <c r="AG27" s="6"/>
      <c r="AH27" s="6"/>
      <c r="AI27" s="6"/>
      <c r="AJ27" s="6"/>
      <c r="AK27" s="6"/>
      <c r="AL27" s="2">
        <v>4</v>
      </c>
      <c r="AM27" s="2">
        <v>8</v>
      </c>
      <c r="AN27" s="18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7">
        <v>0.72</v>
      </c>
      <c r="BK27" s="2">
        <v>30</v>
      </c>
      <c r="BL27" s="2" t="s">
        <v>129</v>
      </c>
      <c r="BM27" s="2" t="s">
        <v>130</v>
      </c>
      <c r="BN27" s="6"/>
      <c r="BO27" s="6"/>
      <c r="BP27" s="6"/>
      <c r="BQ27" s="6"/>
    </row>
    <row r="28" spans="1:69" ht="28.8">
      <c r="A28" s="2" t="s">
        <v>4</v>
      </c>
      <c r="C28" s="2" t="s">
        <v>116</v>
      </c>
      <c r="D28" s="3" t="s">
        <v>131</v>
      </c>
      <c r="E28" s="3" t="s">
        <v>119</v>
      </c>
      <c r="F28" s="3" t="s">
        <v>120</v>
      </c>
      <c r="G28" s="9"/>
      <c r="H28" s="6"/>
      <c r="I28" s="2">
        <v>6</v>
      </c>
      <c r="J28" s="2">
        <v>6</v>
      </c>
      <c r="K28" s="2" t="s">
        <v>122</v>
      </c>
      <c r="L28" s="2">
        <v>65</v>
      </c>
      <c r="M28" s="2">
        <v>159</v>
      </c>
      <c r="N28" s="2" t="s">
        <v>123</v>
      </c>
      <c r="O28" s="6"/>
      <c r="P28" s="6"/>
      <c r="Q28" s="6"/>
      <c r="R28" s="6"/>
      <c r="S28" s="2" t="s">
        <v>124</v>
      </c>
      <c r="T28" s="2">
        <f>489-23</f>
        <v>466</v>
      </c>
      <c r="U28" s="2">
        <f>489+23</f>
        <v>512</v>
      </c>
      <c r="V28" s="18"/>
      <c r="W28" s="6"/>
      <c r="X28" s="6"/>
      <c r="Y28" s="6"/>
      <c r="Z28" s="2">
        <v>25</v>
      </c>
      <c r="AA28" s="2">
        <v>31</v>
      </c>
      <c r="AB28" s="18"/>
      <c r="AC28" s="2">
        <f>792-112</f>
        <v>680</v>
      </c>
      <c r="AD28" s="2">
        <f>792+112</f>
        <v>904</v>
      </c>
      <c r="AE28" s="18"/>
      <c r="AF28" s="6"/>
      <c r="AG28" s="6"/>
      <c r="AH28" s="6"/>
      <c r="AI28" s="6"/>
      <c r="AJ28" s="6"/>
      <c r="AK28" s="6"/>
      <c r="AL28" s="2">
        <f>154-31</f>
        <v>123</v>
      </c>
      <c r="AM28" s="2">
        <f>154+31</f>
        <v>185</v>
      </c>
      <c r="AN28" s="18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7">
        <v>0.59</v>
      </c>
      <c r="BK28" s="2">
        <v>30</v>
      </c>
      <c r="BL28" s="2" t="s">
        <v>129</v>
      </c>
      <c r="BM28" s="2" t="s">
        <v>130</v>
      </c>
      <c r="BN28" s="6"/>
      <c r="BO28" s="6"/>
      <c r="BP28" s="6"/>
      <c r="BQ28" s="6"/>
    </row>
    <row r="29" spans="1:69" ht="28.8">
      <c r="A29" s="2" t="s">
        <v>139</v>
      </c>
      <c r="C29" s="2" t="s">
        <v>143</v>
      </c>
      <c r="D29" s="3" t="s">
        <v>98</v>
      </c>
      <c r="E29" s="3" t="s">
        <v>147</v>
      </c>
      <c r="F29" s="3" t="s">
        <v>148</v>
      </c>
      <c r="G29" s="9"/>
      <c r="H29" s="6"/>
      <c r="I29" s="2">
        <v>57</v>
      </c>
      <c r="J29" s="2">
        <v>57</v>
      </c>
      <c r="K29" s="2" t="s">
        <v>149</v>
      </c>
      <c r="L29" s="2">
        <v>139</v>
      </c>
      <c r="M29" s="2">
        <v>139</v>
      </c>
      <c r="N29" s="2" t="s">
        <v>149</v>
      </c>
      <c r="O29" s="6"/>
      <c r="P29" s="2">
        <v>328</v>
      </c>
      <c r="Q29" s="2">
        <v>401</v>
      </c>
      <c r="R29" s="2">
        <v>409</v>
      </c>
      <c r="S29" s="2" t="s">
        <v>124</v>
      </c>
      <c r="T29" s="2">
        <v>870</v>
      </c>
      <c r="U29" s="2">
        <v>910</v>
      </c>
      <c r="V29" s="2" t="s">
        <v>153</v>
      </c>
      <c r="W29" s="2">
        <v>54</v>
      </c>
      <c r="X29" s="2">
        <v>58</v>
      </c>
      <c r="Y29" s="2" t="s">
        <v>153</v>
      </c>
      <c r="Z29" s="2">
        <v>57</v>
      </c>
      <c r="AA29" s="2">
        <v>57</v>
      </c>
      <c r="AB29" s="2" t="s">
        <v>153</v>
      </c>
      <c r="AC29" s="2">
        <v>270</v>
      </c>
      <c r="AD29" s="2">
        <v>310</v>
      </c>
      <c r="AE29" s="2" t="s">
        <v>153</v>
      </c>
      <c r="AF29" s="6" t="s">
        <v>263</v>
      </c>
      <c r="AG29" s="6"/>
      <c r="AH29" s="6"/>
      <c r="AI29" s="6"/>
      <c r="AJ29" s="6"/>
      <c r="AK29" s="6"/>
      <c r="AL29" s="2">
        <v>147</v>
      </c>
      <c r="AM29" s="2">
        <v>147</v>
      </c>
      <c r="AN29" s="2" t="s">
        <v>153</v>
      </c>
      <c r="AO29" s="6"/>
      <c r="AP29" s="6"/>
      <c r="AQ29" s="6"/>
      <c r="AR29" s="6"/>
      <c r="AS29" s="6"/>
      <c r="AT29" s="6"/>
      <c r="AU29" s="6"/>
      <c r="AV29" s="6"/>
      <c r="AW29" s="6"/>
      <c r="AX29" s="2">
        <v>4.8600000000000003</v>
      </c>
      <c r="AY29" s="2">
        <v>210</v>
      </c>
      <c r="AZ29" s="6"/>
      <c r="BA29" s="6"/>
      <c r="BB29" s="6"/>
      <c r="BC29" s="6"/>
      <c r="BD29" s="2" t="s">
        <v>154</v>
      </c>
      <c r="BE29" s="2" t="s">
        <v>155</v>
      </c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</row>
    <row r="30" spans="1:69" ht="43.2">
      <c r="A30" s="2" t="s">
        <v>139</v>
      </c>
      <c r="C30" s="2" t="s">
        <v>144</v>
      </c>
      <c r="D30" s="3" t="s">
        <v>98</v>
      </c>
      <c r="E30" s="3" t="s">
        <v>140</v>
      </c>
      <c r="F30" s="3" t="s">
        <v>148</v>
      </c>
      <c r="G30" s="9"/>
      <c r="H30" s="6"/>
      <c r="I30" s="2">
        <v>65</v>
      </c>
      <c r="J30" s="2">
        <v>65</v>
      </c>
      <c r="K30" s="2" t="s">
        <v>149</v>
      </c>
      <c r="L30" s="2">
        <v>145</v>
      </c>
      <c r="M30" s="2">
        <v>145</v>
      </c>
      <c r="N30" s="2" t="s">
        <v>149</v>
      </c>
      <c r="O30" s="6"/>
      <c r="P30" s="2">
        <v>336</v>
      </c>
      <c r="Q30" s="2">
        <v>411</v>
      </c>
      <c r="R30" s="2">
        <v>417</v>
      </c>
      <c r="S30" s="2" t="s">
        <v>124</v>
      </c>
      <c r="T30" s="2">
        <v>920</v>
      </c>
      <c r="U30" s="2">
        <v>980</v>
      </c>
      <c r="V30" s="2" t="s">
        <v>153</v>
      </c>
      <c r="W30" s="2">
        <v>59</v>
      </c>
      <c r="X30" s="2">
        <v>63</v>
      </c>
      <c r="Y30" s="2" t="s">
        <v>153</v>
      </c>
      <c r="Z30" s="2">
        <v>53</v>
      </c>
      <c r="AA30" s="2">
        <v>53</v>
      </c>
      <c r="AB30" s="2" t="s">
        <v>153</v>
      </c>
      <c r="AC30" s="2">
        <v>240</v>
      </c>
      <c r="AD30" s="2">
        <v>300</v>
      </c>
      <c r="AE30" s="2" t="s">
        <v>153</v>
      </c>
      <c r="AF30" s="6" t="s">
        <v>263</v>
      </c>
      <c r="AG30" s="6"/>
      <c r="AH30" s="6"/>
      <c r="AI30" s="6"/>
      <c r="AJ30" s="6"/>
      <c r="AK30" s="6"/>
      <c r="AL30" s="2">
        <v>127</v>
      </c>
      <c r="AM30" s="2">
        <v>127</v>
      </c>
      <c r="AN30" s="2" t="s">
        <v>153</v>
      </c>
      <c r="AO30" s="6"/>
      <c r="AP30" s="6"/>
      <c r="AQ30" s="6"/>
      <c r="AR30" s="6"/>
      <c r="AS30" s="6"/>
      <c r="AT30" s="6"/>
      <c r="AU30" s="6"/>
      <c r="AV30" s="6"/>
      <c r="AW30" s="6"/>
      <c r="AX30" s="2">
        <v>4.42</v>
      </c>
      <c r="AY30" s="2">
        <v>210</v>
      </c>
      <c r="AZ30" s="6"/>
      <c r="BA30" s="6"/>
      <c r="BB30" s="6"/>
      <c r="BC30" s="6"/>
      <c r="BD30" s="2" t="s">
        <v>154</v>
      </c>
      <c r="BE30" s="2" t="s">
        <v>155</v>
      </c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</row>
    <row r="31" spans="1:69" ht="43.2">
      <c r="A31" s="2" t="s">
        <v>139</v>
      </c>
      <c r="C31" s="2" t="s">
        <v>145</v>
      </c>
      <c r="D31" s="3" t="s">
        <v>98</v>
      </c>
      <c r="E31" s="3" t="s">
        <v>141</v>
      </c>
      <c r="F31" s="3" t="s">
        <v>148</v>
      </c>
      <c r="G31" s="9"/>
      <c r="H31" s="6"/>
      <c r="I31" s="2">
        <v>73</v>
      </c>
      <c r="J31" s="2">
        <v>73</v>
      </c>
      <c r="K31" s="2" t="s">
        <v>149</v>
      </c>
      <c r="L31" s="2">
        <v>170</v>
      </c>
      <c r="M31" s="2">
        <v>170</v>
      </c>
      <c r="N31" s="2" t="s">
        <v>149</v>
      </c>
      <c r="O31" s="6"/>
      <c r="P31" s="2">
        <v>345</v>
      </c>
      <c r="Q31" s="2">
        <v>418</v>
      </c>
      <c r="R31" s="2">
        <v>426</v>
      </c>
      <c r="S31" s="2" t="s">
        <v>124</v>
      </c>
      <c r="T31" s="2">
        <v>980</v>
      </c>
      <c r="U31" s="2">
        <v>1020</v>
      </c>
      <c r="V31" s="2" t="s">
        <v>153</v>
      </c>
      <c r="W31" s="2">
        <v>63</v>
      </c>
      <c r="X31" s="2">
        <v>67</v>
      </c>
      <c r="Y31" s="2" t="s">
        <v>153</v>
      </c>
      <c r="Z31" s="2">
        <v>60</v>
      </c>
      <c r="AA31" s="2">
        <v>60</v>
      </c>
      <c r="AB31" s="2" t="s">
        <v>153</v>
      </c>
      <c r="AC31" s="2">
        <v>230</v>
      </c>
      <c r="AD31" s="2">
        <v>270</v>
      </c>
      <c r="AE31" s="2" t="s">
        <v>153</v>
      </c>
      <c r="AF31" s="6" t="s">
        <v>263</v>
      </c>
      <c r="AG31" s="6"/>
      <c r="AH31" s="6"/>
      <c r="AI31" s="6"/>
      <c r="AJ31" s="6"/>
      <c r="AK31" s="6"/>
      <c r="AL31" s="2">
        <v>138</v>
      </c>
      <c r="AM31" s="2">
        <v>138</v>
      </c>
      <c r="AN31" s="2" t="s">
        <v>153</v>
      </c>
      <c r="AO31" s="6"/>
      <c r="AP31" s="6"/>
      <c r="AQ31" s="6"/>
      <c r="AR31" s="6"/>
      <c r="AS31" s="6"/>
      <c r="AT31" s="6"/>
      <c r="AU31" s="6"/>
      <c r="AV31" s="6"/>
      <c r="AW31" s="6"/>
      <c r="AX31" s="2">
        <v>3.86</v>
      </c>
      <c r="AY31" s="2">
        <v>210</v>
      </c>
      <c r="AZ31" s="6"/>
      <c r="BA31" s="6"/>
      <c r="BB31" s="6"/>
      <c r="BC31" s="6"/>
      <c r="BD31" s="2" t="s">
        <v>154</v>
      </c>
      <c r="BE31" s="2" t="s">
        <v>155</v>
      </c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</row>
    <row r="32" spans="1:69" ht="43.2">
      <c r="A32" s="2" t="s">
        <v>139</v>
      </c>
      <c r="C32" s="2" t="s">
        <v>146</v>
      </c>
      <c r="D32" s="3" t="s">
        <v>98</v>
      </c>
      <c r="E32" s="3" t="s">
        <v>142</v>
      </c>
      <c r="F32" s="3" t="s">
        <v>148</v>
      </c>
      <c r="G32" s="9"/>
      <c r="H32" s="6"/>
      <c r="I32" s="2">
        <v>79</v>
      </c>
      <c r="J32" s="2">
        <v>79</v>
      </c>
      <c r="K32" s="2" t="s">
        <v>149</v>
      </c>
      <c r="L32" s="2">
        <v>175</v>
      </c>
      <c r="M32" s="2">
        <v>175</v>
      </c>
      <c r="N32" s="2" t="s">
        <v>149</v>
      </c>
      <c r="O32" s="6"/>
      <c r="P32" s="2">
        <v>351</v>
      </c>
      <c r="Q32" s="2">
        <v>428</v>
      </c>
      <c r="R32" s="2">
        <v>432</v>
      </c>
      <c r="S32" s="2" t="s">
        <v>124</v>
      </c>
      <c r="T32" s="2">
        <v>1140</v>
      </c>
      <c r="U32" s="2">
        <v>1180</v>
      </c>
      <c r="V32" s="2" t="s">
        <v>153</v>
      </c>
      <c r="W32" s="2">
        <v>66</v>
      </c>
      <c r="X32" s="2">
        <v>72</v>
      </c>
      <c r="Y32" s="2" t="s">
        <v>153</v>
      </c>
      <c r="Z32" s="2">
        <v>67</v>
      </c>
      <c r="AA32" s="2">
        <v>67</v>
      </c>
      <c r="AB32" s="2" t="s">
        <v>153</v>
      </c>
      <c r="AC32" s="2">
        <v>200</v>
      </c>
      <c r="AD32" s="2">
        <v>220</v>
      </c>
      <c r="AE32" s="2" t="s">
        <v>153</v>
      </c>
      <c r="AF32" s="6" t="s">
        <v>263</v>
      </c>
      <c r="AG32" s="6"/>
      <c r="AH32" s="6"/>
      <c r="AI32" s="6"/>
      <c r="AJ32" s="6"/>
      <c r="AK32" s="6"/>
      <c r="AL32" s="2">
        <v>130</v>
      </c>
      <c r="AM32" s="2">
        <v>130</v>
      </c>
      <c r="AN32" s="2" t="s">
        <v>153</v>
      </c>
      <c r="AO32" s="6"/>
      <c r="AP32" s="6"/>
      <c r="AQ32" s="6"/>
      <c r="AR32" s="6"/>
      <c r="AS32" s="6"/>
      <c r="AT32" s="6"/>
      <c r="AU32" s="6"/>
      <c r="AV32" s="6"/>
      <c r="AW32" s="6"/>
      <c r="AX32" s="2">
        <v>3.65</v>
      </c>
      <c r="AY32" s="2">
        <v>210</v>
      </c>
      <c r="AZ32" s="6"/>
      <c r="BA32" s="6"/>
      <c r="BB32" s="6"/>
      <c r="BC32" s="6"/>
      <c r="BD32" s="2" t="s">
        <v>154</v>
      </c>
      <c r="BE32" s="2" t="s">
        <v>155</v>
      </c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</row>
    <row r="33" spans="1:69">
      <c r="A33" s="2" t="s">
        <v>5</v>
      </c>
      <c r="C33" s="2" t="s">
        <v>29</v>
      </c>
      <c r="D33" s="3" t="s">
        <v>162</v>
      </c>
      <c r="E33" s="3" t="s">
        <v>162</v>
      </c>
      <c r="F33" s="3" t="s">
        <v>171</v>
      </c>
      <c r="G33" s="9"/>
      <c r="H33" s="6"/>
      <c r="I33" s="2">
        <v>-34</v>
      </c>
      <c r="J33" s="2">
        <v>-34</v>
      </c>
      <c r="K33" s="2" t="s">
        <v>169</v>
      </c>
      <c r="L33" s="2">
        <v>114.6</v>
      </c>
      <c r="M33" s="2">
        <v>114.6</v>
      </c>
      <c r="N33" s="2" t="s">
        <v>169</v>
      </c>
      <c r="O33" s="6"/>
      <c r="P33" s="2">
        <v>319.5</v>
      </c>
      <c r="Q33" s="2">
        <v>394.4</v>
      </c>
      <c r="R33" s="6"/>
      <c r="S33" s="2" t="s">
        <v>170</v>
      </c>
      <c r="T33" s="2">
        <f>688-18</f>
        <v>670</v>
      </c>
      <c r="U33" s="2">
        <f>688+18</f>
        <v>706</v>
      </c>
      <c r="V33" s="2" t="s">
        <v>168</v>
      </c>
      <c r="W33" s="2">
        <v>33.1</v>
      </c>
      <c r="X33" s="2">
        <v>34.700000000000003</v>
      </c>
      <c r="Y33" s="2" t="s">
        <v>168</v>
      </c>
      <c r="Z33" s="6"/>
      <c r="AA33" s="6"/>
      <c r="AB33" s="6"/>
      <c r="AC33" s="2">
        <v>165</v>
      </c>
      <c r="AD33" s="2">
        <v>175</v>
      </c>
      <c r="AE33" s="2" t="s">
        <v>168</v>
      </c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2">
        <f>80-79.2</f>
        <v>0.79999999999999716</v>
      </c>
      <c r="BO33" s="2">
        <v>35</v>
      </c>
      <c r="BP33" s="3" t="s">
        <v>171</v>
      </c>
      <c r="BQ33" s="2" t="s">
        <v>172</v>
      </c>
    </row>
    <row r="34" spans="1:69" ht="28.8">
      <c r="A34" s="2" t="s">
        <v>5</v>
      </c>
      <c r="C34" s="2" t="s">
        <v>156</v>
      </c>
      <c r="D34" s="3" t="s">
        <v>161</v>
      </c>
      <c r="E34" s="3" t="s">
        <v>163</v>
      </c>
      <c r="F34" s="3" t="s">
        <v>171</v>
      </c>
      <c r="G34" s="9"/>
      <c r="H34" s="6"/>
      <c r="I34" s="2">
        <v>-33.9</v>
      </c>
      <c r="J34" s="2">
        <v>-33.9</v>
      </c>
      <c r="K34" s="2" t="s">
        <v>169</v>
      </c>
      <c r="L34" s="2">
        <v>105.7</v>
      </c>
      <c r="M34" s="2">
        <v>105.7</v>
      </c>
      <c r="N34" s="2" t="s">
        <v>169</v>
      </c>
      <c r="O34" s="6"/>
      <c r="P34" s="2">
        <v>334.1</v>
      </c>
      <c r="Q34" s="2">
        <v>403.5</v>
      </c>
      <c r="R34" s="6"/>
      <c r="S34" s="2" t="s">
        <v>170</v>
      </c>
      <c r="T34" s="2">
        <v>453</v>
      </c>
      <c r="U34" s="2">
        <v>155</v>
      </c>
      <c r="V34" s="2" t="s">
        <v>168</v>
      </c>
      <c r="W34" s="2">
        <v>29</v>
      </c>
      <c r="X34" s="2">
        <v>29.2</v>
      </c>
      <c r="Y34" s="2" t="s">
        <v>168</v>
      </c>
      <c r="Z34" s="6"/>
      <c r="AA34" s="6"/>
      <c r="AB34" s="6"/>
      <c r="AC34" s="2">
        <v>22</v>
      </c>
      <c r="AD34" s="2">
        <v>32</v>
      </c>
      <c r="AE34" s="2" t="s">
        <v>168</v>
      </c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2">
        <f>80-78.6</f>
        <v>1.4000000000000057</v>
      </c>
      <c r="BO34" s="2">
        <v>35</v>
      </c>
      <c r="BP34" s="3" t="s">
        <v>171</v>
      </c>
      <c r="BQ34" s="2" t="s">
        <v>172</v>
      </c>
    </row>
    <row r="35" spans="1:69" ht="28.8">
      <c r="A35" s="2" t="s">
        <v>5</v>
      </c>
      <c r="C35" s="2" t="s">
        <v>157</v>
      </c>
      <c r="D35" s="3" t="s">
        <v>161</v>
      </c>
      <c r="E35" s="3" t="s">
        <v>164</v>
      </c>
      <c r="F35" s="3" t="s">
        <v>171</v>
      </c>
      <c r="G35" s="9"/>
      <c r="H35" s="6"/>
      <c r="I35" s="2">
        <v>-33.6</v>
      </c>
      <c r="J35" s="2">
        <v>-33.6</v>
      </c>
      <c r="K35" s="2" t="s">
        <v>169</v>
      </c>
      <c r="L35" s="2">
        <v>99.3</v>
      </c>
      <c r="M35" s="2">
        <v>99.3</v>
      </c>
      <c r="N35" s="2" t="s">
        <v>169</v>
      </c>
      <c r="O35" s="6"/>
      <c r="P35" s="2">
        <v>323.8</v>
      </c>
      <c r="Q35" s="2">
        <v>402.8</v>
      </c>
      <c r="R35" s="6"/>
      <c r="S35" s="2" t="s">
        <v>170</v>
      </c>
      <c r="T35" s="2">
        <f>408-4</f>
        <v>404</v>
      </c>
      <c r="U35" s="2">
        <v>412</v>
      </c>
      <c r="V35" s="2" t="s">
        <v>168</v>
      </c>
      <c r="W35" s="2">
        <v>21.6</v>
      </c>
      <c r="X35" s="2">
        <v>21.8</v>
      </c>
      <c r="Y35" s="2" t="s">
        <v>168</v>
      </c>
      <c r="Z35" s="6"/>
      <c r="AA35" s="6"/>
      <c r="AB35" s="6"/>
      <c r="AC35" s="2">
        <v>47.6</v>
      </c>
      <c r="AD35" s="2">
        <v>63.6</v>
      </c>
      <c r="AE35" s="2" t="s">
        <v>168</v>
      </c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2">
        <f>80-72.1</f>
        <v>7.9000000000000057</v>
      </c>
      <c r="BO35" s="2">
        <v>35</v>
      </c>
      <c r="BP35" s="3" t="s">
        <v>171</v>
      </c>
      <c r="BQ35" s="2" t="s">
        <v>172</v>
      </c>
    </row>
    <row r="36" spans="1:69" ht="28.8">
      <c r="A36" s="2" t="s">
        <v>5</v>
      </c>
      <c r="C36" s="2" t="s">
        <v>158</v>
      </c>
      <c r="D36" s="3" t="s">
        <v>161</v>
      </c>
      <c r="E36" s="3" t="s">
        <v>165</v>
      </c>
      <c r="F36" s="3" t="s">
        <v>171</v>
      </c>
      <c r="G36" s="9"/>
      <c r="H36" s="6"/>
      <c r="I36" s="2">
        <v>-33.5</v>
      </c>
      <c r="J36" s="2">
        <v>-33.5</v>
      </c>
      <c r="K36" s="2" t="s">
        <v>169</v>
      </c>
      <c r="L36" s="2">
        <v>85</v>
      </c>
      <c r="M36" s="2">
        <v>85</v>
      </c>
      <c r="N36" s="2" t="s">
        <v>169</v>
      </c>
      <c r="O36" s="6"/>
      <c r="P36" s="2">
        <v>316.2</v>
      </c>
      <c r="Q36" s="2">
        <v>392.2</v>
      </c>
      <c r="R36" s="6"/>
      <c r="S36" s="2" t="s">
        <v>170</v>
      </c>
      <c r="T36" s="2">
        <v>235</v>
      </c>
      <c r="U36" s="2">
        <v>237</v>
      </c>
      <c r="V36" s="2" t="s">
        <v>168</v>
      </c>
      <c r="W36" s="2">
        <v>19.3</v>
      </c>
      <c r="X36" s="2">
        <v>19.7</v>
      </c>
      <c r="Y36" s="2" t="s">
        <v>168</v>
      </c>
      <c r="Z36" s="6"/>
      <c r="AA36" s="6"/>
      <c r="AB36" s="6"/>
      <c r="AC36" s="2">
        <f>135-17</f>
        <v>118</v>
      </c>
      <c r="AD36" s="2">
        <f>135+17</f>
        <v>152</v>
      </c>
      <c r="AE36" s="2" t="s">
        <v>168</v>
      </c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2">
        <f>80-64.8</f>
        <v>15.200000000000003</v>
      </c>
      <c r="BO36" s="2">
        <v>35</v>
      </c>
      <c r="BP36" s="3" t="s">
        <v>171</v>
      </c>
      <c r="BQ36" s="2" t="s">
        <v>172</v>
      </c>
    </row>
    <row r="37" spans="1:69" ht="28.8">
      <c r="A37" s="2" t="s">
        <v>5</v>
      </c>
      <c r="C37" s="2" t="s">
        <v>159</v>
      </c>
      <c r="D37" s="3" t="s">
        <v>161</v>
      </c>
      <c r="E37" s="3" t="s">
        <v>166</v>
      </c>
      <c r="F37" s="3" t="s">
        <v>171</v>
      </c>
      <c r="G37" s="9"/>
      <c r="H37" s="6"/>
      <c r="I37" s="2">
        <v>-33.299999999999997</v>
      </c>
      <c r="J37" s="2">
        <v>-33.299999999999997</v>
      </c>
      <c r="K37" s="2" t="s">
        <v>169</v>
      </c>
      <c r="L37" s="2">
        <v>74.400000000000006</v>
      </c>
      <c r="M37" s="2">
        <v>74.400000000000006</v>
      </c>
      <c r="N37" s="2" t="s">
        <v>169</v>
      </c>
      <c r="O37" s="6"/>
      <c r="P37" s="2">
        <v>305.7</v>
      </c>
      <c r="Q37" s="2">
        <v>346.2</v>
      </c>
      <c r="R37" s="6"/>
      <c r="S37" s="2" t="s">
        <v>170</v>
      </c>
      <c r="T37" s="2">
        <v>216</v>
      </c>
      <c r="U37" s="2">
        <v>220</v>
      </c>
      <c r="V37" s="2" t="s">
        <v>168</v>
      </c>
      <c r="W37" s="2">
        <v>11.7</v>
      </c>
      <c r="X37" s="2">
        <v>11.9</v>
      </c>
      <c r="Y37" s="2" t="s">
        <v>168</v>
      </c>
      <c r="Z37" s="6"/>
      <c r="AA37" s="6"/>
      <c r="AB37" s="6"/>
      <c r="AC37" s="2">
        <f>413-49</f>
        <v>364</v>
      </c>
      <c r="AD37" s="2">
        <f>413+49</f>
        <v>462</v>
      </c>
      <c r="AE37" s="2" t="s">
        <v>168</v>
      </c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2">
        <f>80-39.4</f>
        <v>40.6</v>
      </c>
      <c r="BO37" s="2">
        <v>35</v>
      </c>
      <c r="BP37" s="3" t="s">
        <v>171</v>
      </c>
      <c r="BQ37" s="2" t="s">
        <v>172</v>
      </c>
    </row>
    <row r="38" spans="1:69" ht="28.8">
      <c r="A38" s="2" t="s">
        <v>5</v>
      </c>
      <c r="C38" s="2" t="s">
        <v>160</v>
      </c>
      <c r="D38" s="3" t="s">
        <v>161</v>
      </c>
      <c r="E38" s="3" t="s">
        <v>167</v>
      </c>
      <c r="F38" s="3" t="s">
        <v>171</v>
      </c>
      <c r="G38" s="9"/>
      <c r="H38" s="6"/>
      <c r="I38" s="2">
        <v>-24.8</v>
      </c>
      <c r="J38" s="2">
        <v>-24.8</v>
      </c>
      <c r="K38" s="2" t="s">
        <v>169</v>
      </c>
      <c r="L38" s="2">
        <v>78.099999999999994</v>
      </c>
      <c r="M38" s="2">
        <v>78.099999999999994</v>
      </c>
      <c r="N38" s="2" t="s">
        <v>169</v>
      </c>
      <c r="O38" s="6"/>
      <c r="P38" s="2">
        <v>257.7</v>
      </c>
      <c r="Q38" s="2">
        <v>350.4</v>
      </c>
      <c r="R38" s="6"/>
      <c r="S38" s="2" t="s">
        <v>170</v>
      </c>
      <c r="T38" s="2">
        <v>140</v>
      </c>
      <c r="U38" s="2">
        <v>142</v>
      </c>
      <c r="V38" s="2" t="s">
        <v>168</v>
      </c>
      <c r="W38" s="2">
        <v>6.1</v>
      </c>
      <c r="X38" s="2">
        <v>7.7</v>
      </c>
      <c r="Y38" s="2" t="s">
        <v>168</v>
      </c>
      <c r="Z38" s="6"/>
      <c r="AA38" s="6"/>
      <c r="AB38" s="6"/>
      <c r="AC38" s="2">
        <v>13</v>
      </c>
      <c r="AD38" s="2">
        <v>17</v>
      </c>
      <c r="AE38" s="2" t="s">
        <v>168</v>
      </c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2">
        <f>80-9.96</f>
        <v>70.039999999999992</v>
      </c>
      <c r="BO38" s="2">
        <v>35</v>
      </c>
      <c r="BP38" s="3" t="s">
        <v>171</v>
      </c>
      <c r="BQ38" s="2" t="s">
        <v>172</v>
      </c>
    </row>
    <row r="39" spans="1:69">
      <c r="A39" s="2" t="s">
        <v>6</v>
      </c>
      <c r="C39" s="2" t="s">
        <v>32</v>
      </c>
      <c r="D39" s="3" t="s">
        <v>41</v>
      </c>
      <c r="E39" s="3" t="s">
        <v>41</v>
      </c>
      <c r="F39" s="3" t="s">
        <v>132</v>
      </c>
      <c r="G39" s="9"/>
      <c r="H39" s="6"/>
      <c r="I39" s="2">
        <v>62.5</v>
      </c>
      <c r="J39" s="2">
        <v>62.5</v>
      </c>
      <c r="K39" s="2" t="s">
        <v>169</v>
      </c>
      <c r="L39" s="2">
        <v>168.8</v>
      </c>
      <c r="M39" s="2">
        <v>168.8</v>
      </c>
      <c r="N39" s="2" t="s">
        <v>169</v>
      </c>
      <c r="O39" s="6"/>
      <c r="P39" s="6"/>
      <c r="Q39" s="6"/>
      <c r="R39" s="6"/>
      <c r="S39" s="6"/>
      <c r="T39" s="2">
        <v>2380</v>
      </c>
      <c r="U39" s="2">
        <v>2380</v>
      </c>
      <c r="V39" s="2" t="s">
        <v>168</v>
      </c>
      <c r="W39" s="2">
        <v>52.7</v>
      </c>
      <c r="X39" s="2">
        <v>52.7</v>
      </c>
      <c r="Y39" s="2" t="s">
        <v>168</v>
      </c>
      <c r="Z39" s="6"/>
      <c r="AA39" s="6"/>
      <c r="AB39" s="6"/>
      <c r="AC39" s="2">
        <v>2.5</v>
      </c>
      <c r="AD39" s="2">
        <v>2.6</v>
      </c>
      <c r="AE39" s="2" t="s">
        <v>168</v>
      </c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2">
        <v>0.21</v>
      </c>
      <c r="AY39" s="2">
        <v>60</v>
      </c>
      <c r="AZ39" s="2">
        <v>0.36</v>
      </c>
      <c r="BA39" s="2">
        <v>180</v>
      </c>
      <c r="BB39" s="2">
        <v>0.56999999999999995</v>
      </c>
      <c r="BC39" s="2">
        <v>365</v>
      </c>
      <c r="BD39" s="2" t="s">
        <v>183</v>
      </c>
      <c r="BE39" s="2" t="s">
        <v>182</v>
      </c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</row>
    <row r="40" spans="1:69" ht="28.8">
      <c r="A40" s="2" t="s">
        <v>6</v>
      </c>
      <c r="C40" s="2" t="s">
        <v>173</v>
      </c>
      <c r="D40" s="3" t="s">
        <v>181</v>
      </c>
      <c r="E40" s="3" t="s">
        <v>177</v>
      </c>
      <c r="F40" s="3" t="s">
        <v>132</v>
      </c>
      <c r="G40" s="9"/>
      <c r="H40" s="6"/>
      <c r="I40" s="2">
        <v>61.1</v>
      </c>
      <c r="J40" s="2">
        <v>61.1</v>
      </c>
      <c r="K40" s="2" t="s">
        <v>169</v>
      </c>
      <c r="L40" s="2">
        <v>169.7</v>
      </c>
      <c r="M40" s="2">
        <v>169.7</v>
      </c>
      <c r="N40" s="2" t="s">
        <v>169</v>
      </c>
      <c r="O40" s="6"/>
      <c r="P40" s="6"/>
      <c r="Q40" s="6"/>
      <c r="R40" s="6"/>
      <c r="S40" s="6"/>
      <c r="T40" s="2">
        <v>2660</v>
      </c>
      <c r="U40" s="2">
        <v>2660</v>
      </c>
      <c r="V40" s="2" t="s">
        <v>168</v>
      </c>
      <c r="W40" s="2">
        <v>53.8</v>
      </c>
      <c r="X40" s="2">
        <v>53.8</v>
      </c>
      <c r="Y40" s="2" t="s">
        <v>168</v>
      </c>
      <c r="Z40" s="6"/>
      <c r="AA40" s="6"/>
      <c r="AB40" s="6"/>
      <c r="AC40" s="2">
        <v>2.5</v>
      </c>
      <c r="AD40" s="2">
        <v>2.6</v>
      </c>
      <c r="AE40" s="2" t="s">
        <v>168</v>
      </c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2">
        <v>1.24</v>
      </c>
      <c r="AY40" s="2">
        <v>60</v>
      </c>
      <c r="AZ40" s="2">
        <v>3</v>
      </c>
      <c r="BA40" s="2">
        <v>180</v>
      </c>
      <c r="BB40" s="2">
        <v>7.3</v>
      </c>
      <c r="BC40" s="2">
        <v>365</v>
      </c>
      <c r="BD40" s="2" t="s">
        <v>183</v>
      </c>
      <c r="BE40" s="2" t="s">
        <v>182</v>
      </c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</row>
    <row r="41" spans="1:69" ht="28.8">
      <c r="A41" s="2" t="s">
        <v>6</v>
      </c>
      <c r="C41" s="2" t="s">
        <v>174</v>
      </c>
      <c r="D41" s="3" t="s">
        <v>181</v>
      </c>
      <c r="E41" s="3" t="s">
        <v>179</v>
      </c>
      <c r="F41" s="3" t="s">
        <v>132</v>
      </c>
      <c r="G41" s="9"/>
      <c r="H41" s="6"/>
      <c r="I41" s="2">
        <v>60</v>
      </c>
      <c r="J41" s="2">
        <v>60</v>
      </c>
      <c r="K41" s="2" t="s">
        <v>169</v>
      </c>
      <c r="L41" s="2">
        <v>168.3</v>
      </c>
      <c r="M41" s="2">
        <v>168.3</v>
      </c>
      <c r="N41" s="2" t="s">
        <v>169</v>
      </c>
      <c r="O41" s="6"/>
      <c r="P41" s="6"/>
      <c r="Q41" s="6"/>
      <c r="R41" s="6"/>
      <c r="S41" s="6"/>
      <c r="T41" s="2">
        <v>2660</v>
      </c>
      <c r="U41" s="2">
        <v>2660</v>
      </c>
      <c r="V41" s="2" t="s">
        <v>168</v>
      </c>
      <c r="W41" s="2">
        <v>52.6</v>
      </c>
      <c r="X41" s="2">
        <v>52.6</v>
      </c>
      <c r="Y41" s="2" t="s">
        <v>168</v>
      </c>
      <c r="Z41" s="6"/>
      <c r="AA41" s="6"/>
      <c r="AB41" s="6"/>
      <c r="AC41" s="2">
        <v>2.4</v>
      </c>
      <c r="AD41" s="2">
        <v>2.5</v>
      </c>
      <c r="AE41" s="2" t="s">
        <v>168</v>
      </c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2">
        <v>2.19</v>
      </c>
      <c r="AY41" s="2">
        <v>60</v>
      </c>
      <c r="AZ41" s="2">
        <v>4.3</v>
      </c>
      <c r="BA41" s="2">
        <v>180</v>
      </c>
      <c r="BB41" s="2">
        <v>9.8000000000000007</v>
      </c>
      <c r="BC41" s="2">
        <v>365</v>
      </c>
      <c r="BD41" s="2" t="s">
        <v>183</v>
      </c>
      <c r="BE41" s="2" t="s">
        <v>182</v>
      </c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</row>
    <row r="42" spans="1:69" ht="28.8">
      <c r="A42" s="2" t="s">
        <v>6</v>
      </c>
      <c r="C42" s="2" t="s">
        <v>175</v>
      </c>
      <c r="D42" s="3" t="s">
        <v>181</v>
      </c>
      <c r="E42" s="3" t="s">
        <v>178</v>
      </c>
      <c r="F42" s="3" t="s">
        <v>132</v>
      </c>
      <c r="G42" s="9"/>
      <c r="H42" s="6"/>
      <c r="I42" s="2">
        <v>58.5</v>
      </c>
      <c r="J42" s="2">
        <v>58.5</v>
      </c>
      <c r="K42" s="2" t="s">
        <v>169</v>
      </c>
      <c r="L42" s="2">
        <v>167.3</v>
      </c>
      <c r="M42" s="2">
        <v>167.3</v>
      </c>
      <c r="N42" s="2" t="s">
        <v>169</v>
      </c>
      <c r="O42" s="6"/>
      <c r="P42" s="6"/>
      <c r="Q42" s="6"/>
      <c r="R42" s="6"/>
      <c r="S42" s="6"/>
      <c r="T42" s="2">
        <v>2550</v>
      </c>
      <c r="U42" s="2">
        <v>2550</v>
      </c>
      <c r="V42" s="2" t="s">
        <v>168</v>
      </c>
      <c r="W42" s="2">
        <v>39.299999999999997</v>
      </c>
      <c r="X42" s="2">
        <v>39.299999999999997</v>
      </c>
      <c r="Y42" s="2" t="s">
        <v>168</v>
      </c>
      <c r="Z42" s="6"/>
      <c r="AA42" s="6"/>
      <c r="AB42" s="6"/>
      <c r="AC42" s="2">
        <v>1.8</v>
      </c>
      <c r="AD42" s="2">
        <v>1.8</v>
      </c>
      <c r="AE42" s="2" t="s">
        <v>168</v>
      </c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2">
        <v>3.12</v>
      </c>
      <c r="AY42" s="2">
        <v>60</v>
      </c>
      <c r="AZ42" s="2">
        <v>8.1</v>
      </c>
      <c r="BA42" s="2">
        <v>180</v>
      </c>
      <c r="BB42" s="2">
        <v>15.1</v>
      </c>
      <c r="BC42" s="2">
        <v>365</v>
      </c>
      <c r="BD42" s="2" t="s">
        <v>183</v>
      </c>
      <c r="BE42" s="2" t="s">
        <v>182</v>
      </c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</row>
    <row r="43" spans="1:69" ht="28.8">
      <c r="A43" s="2" t="s">
        <v>6</v>
      </c>
      <c r="C43" s="2" t="s">
        <v>176</v>
      </c>
      <c r="D43" s="3" t="s">
        <v>181</v>
      </c>
      <c r="E43" s="3" t="s">
        <v>180</v>
      </c>
      <c r="F43" s="3" t="s">
        <v>132</v>
      </c>
      <c r="G43" s="9"/>
      <c r="H43" s="6"/>
      <c r="I43" s="2">
        <v>57.7</v>
      </c>
      <c r="J43" s="2">
        <v>57.7</v>
      </c>
      <c r="K43" s="2" t="s">
        <v>169</v>
      </c>
      <c r="L43" s="2">
        <v>164.8</v>
      </c>
      <c r="M43" s="2">
        <v>164.8</v>
      </c>
      <c r="N43" s="2" t="s">
        <v>169</v>
      </c>
      <c r="O43" s="6"/>
      <c r="P43" s="6"/>
      <c r="Q43" s="6"/>
      <c r="R43" s="6"/>
      <c r="S43" s="6"/>
      <c r="T43" s="2">
        <v>2550</v>
      </c>
      <c r="U43" s="2">
        <v>2550</v>
      </c>
      <c r="V43" s="2" t="s">
        <v>168</v>
      </c>
      <c r="W43" s="2">
        <v>23.5</v>
      </c>
      <c r="X43" s="2">
        <v>23.5</v>
      </c>
      <c r="Y43" s="2" t="s">
        <v>168</v>
      </c>
      <c r="Z43" s="6"/>
      <c r="AA43" s="6"/>
      <c r="AB43" s="6"/>
      <c r="AC43" s="2">
        <v>0.9</v>
      </c>
      <c r="AD43" s="2">
        <v>1</v>
      </c>
      <c r="AE43" s="2" t="s">
        <v>168</v>
      </c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2">
        <v>5.0999999999999996</v>
      </c>
      <c r="AY43" s="2">
        <v>60</v>
      </c>
      <c r="AZ43" s="2">
        <v>10.4</v>
      </c>
      <c r="BA43" s="2">
        <f>365/2</f>
        <v>182.5</v>
      </c>
      <c r="BB43" s="2">
        <v>21.3</v>
      </c>
      <c r="BC43" s="2">
        <v>365</v>
      </c>
      <c r="BD43" s="2" t="s">
        <v>183</v>
      </c>
      <c r="BE43" s="2" t="s">
        <v>182</v>
      </c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</row>
    <row r="44" spans="1:69" ht="28.8">
      <c r="A44" s="2" t="s">
        <v>7</v>
      </c>
      <c r="C44" s="2" t="s">
        <v>184</v>
      </c>
      <c r="D44" s="3" t="s">
        <v>51</v>
      </c>
      <c r="E44" s="3" t="s">
        <v>189</v>
      </c>
      <c r="F44" s="3" t="s">
        <v>240</v>
      </c>
      <c r="G44" s="19">
        <f>0.32</f>
        <v>0.32</v>
      </c>
      <c r="H44" s="2" t="s">
        <v>194</v>
      </c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2">
        <f>0.9-0.27</f>
        <v>0.63</v>
      </c>
      <c r="AA44" s="2">
        <f>0.9+0.27</f>
        <v>1.17</v>
      </c>
      <c r="AB44" s="2" t="s">
        <v>195</v>
      </c>
      <c r="AC44" s="2">
        <f>2.69-0.63</f>
        <v>2.06</v>
      </c>
      <c r="AD44" s="2">
        <f>2.69+0.63</f>
        <v>3.32</v>
      </c>
      <c r="AE44" s="2" t="s">
        <v>195</v>
      </c>
      <c r="AF44" s="6" t="s">
        <v>263</v>
      </c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2">
        <v>48</v>
      </c>
      <c r="AY44" s="2">
        <v>56</v>
      </c>
      <c r="AZ44" s="6"/>
      <c r="BA44" s="6"/>
      <c r="BB44" s="6"/>
      <c r="BC44" s="6"/>
      <c r="BD44" s="2" t="s">
        <v>200</v>
      </c>
      <c r="BE44" s="2" t="s">
        <v>229</v>
      </c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</row>
    <row r="45" spans="1:69" ht="57.6">
      <c r="A45" s="2" t="s">
        <v>7</v>
      </c>
      <c r="C45" s="2" t="s">
        <v>185</v>
      </c>
      <c r="D45" s="3" t="s">
        <v>51</v>
      </c>
      <c r="E45" s="3" t="s">
        <v>190</v>
      </c>
      <c r="F45" s="3" t="s">
        <v>240</v>
      </c>
      <c r="G45" s="19">
        <f>0.45</f>
        <v>0.45</v>
      </c>
      <c r="H45" s="2" t="s">
        <v>194</v>
      </c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2">
        <f>1.35-0.04</f>
        <v>1.31</v>
      </c>
      <c r="AA45" s="2">
        <f>1.35+0.04</f>
        <v>1.3900000000000001</v>
      </c>
      <c r="AB45" s="2" t="s">
        <v>196</v>
      </c>
      <c r="AC45" s="2">
        <f>1.54-0.07</f>
        <v>1.47</v>
      </c>
      <c r="AD45" s="2">
        <f>1.54+0.07</f>
        <v>1.61</v>
      </c>
      <c r="AE45" s="2" t="s">
        <v>196</v>
      </c>
      <c r="AF45" s="6" t="s">
        <v>263</v>
      </c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2">
        <v>67</v>
      </c>
      <c r="AY45" s="2">
        <v>56</v>
      </c>
      <c r="AZ45" s="6"/>
      <c r="BA45" s="6"/>
      <c r="BB45" s="6"/>
      <c r="BC45" s="6"/>
      <c r="BD45" s="2" t="s">
        <v>201</v>
      </c>
      <c r="BE45" s="2" t="s">
        <v>229</v>
      </c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</row>
    <row r="46" spans="1:69" ht="57.6">
      <c r="A46" s="2" t="s">
        <v>7</v>
      </c>
      <c r="C46" s="2" t="s">
        <v>186</v>
      </c>
      <c r="D46" s="3" t="s">
        <v>51</v>
      </c>
      <c r="E46" s="3" t="s">
        <v>191</v>
      </c>
      <c r="F46" s="3" t="s">
        <v>240</v>
      </c>
      <c r="G46" s="19">
        <f>0.46</f>
        <v>0.46</v>
      </c>
      <c r="H46" s="2" t="s">
        <v>194</v>
      </c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2">
        <f>1.62-0.05</f>
        <v>1.57</v>
      </c>
      <c r="AA46" s="2">
        <f>1.62+0.05</f>
        <v>1.6700000000000002</v>
      </c>
      <c r="AB46" s="2" t="s">
        <v>197</v>
      </c>
      <c r="AC46" s="2">
        <f>1.51-0.41</f>
        <v>1.1000000000000001</v>
      </c>
      <c r="AD46" s="2">
        <f>1.51+0.41</f>
        <v>1.92</v>
      </c>
      <c r="AE46" s="2" t="s">
        <v>197</v>
      </c>
      <c r="AF46" s="6" t="s">
        <v>263</v>
      </c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2">
        <v>69</v>
      </c>
      <c r="AY46" s="2">
        <v>56</v>
      </c>
      <c r="AZ46" s="6"/>
      <c r="BA46" s="6"/>
      <c r="BB46" s="6"/>
      <c r="BC46" s="6"/>
      <c r="BD46" s="2" t="s">
        <v>202</v>
      </c>
      <c r="BE46" s="2" t="s">
        <v>229</v>
      </c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</row>
    <row r="47" spans="1:69" ht="57.6">
      <c r="A47" s="2" t="s">
        <v>7</v>
      </c>
      <c r="C47" s="2" t="s">
        <v>187</v>
      </c>
      <c r="D47" s="3" t="s">
        <v>51</v>
      </c>
      <c r="E47" s="3" t="s">
        <v>192</v>
      </c>
      <c r="F47" s="3" t="s">
        <v>240</v>
      </c>
      <c r="G47" s="19">
        <f>0.56</f>
        <v>0.56000000000000005</v>
      </c>
      <c r="H47" s="2" t="s">
        <v>194</v>
      </c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2">
        <f>2.37-0.55</f>
        <v>1.82</v>
      </c>
      <c r="AA47" s="2">
        <f>2.37+0.55</f>
        <v>2.92</v>
      </c>
      <c r="AB47" s="2" t="s">
        <v>198</v>
      </c>
      <c r="AC47" s="2">
        <f>1.33-0.23</f>
        <v>1.1000000000000001</v>
      </c>
      <c r="AD47" s="2">
        <f>1.33+0.23</f>
        <v>1.56</v>
      </c>
      <c r="AE47" s="2" t="s">
        <v>198</v>
      </c>
      <c r="AF47" s="6" t="s">
        <v>263</v>
      </c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2">
        <v>66</v>
      </c>
      <c r="AY47" s="2">
        <v>56</v>
      </c>
      <c r="AZ47" s="6"/>
      <c r="BA47" s="6"/>
      <c r="BB47" s="6"/>
      <c r="BC47" s="6"/>
      <c r="BD47" s="2" t="s">
        <v>203</v>
      </c>
      <c r="BE47" s="2" t="s">
        <v>229</v>
      </c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</row>
    <row r="48" spans="1:69" ht="57.6">
      <c r="A48" s="2" t="s">
        <v>7</v>
      </c>
      <c r="C48" s="2" t="s">
        <v>188</v>
      </c>
      <c r="D48" s="3" t="s">
        <v>51</v>
      </c>
      <c r="E48" s="3" t="s">
        <v>193</v>
      </c>
      <c r="F48" s="3" t="s">
        <v>240</v>
      </c>
      <c r="G48" s="19">
        <f>0.66</f>
        <v>0.66</v>
      </c>
      <c r="H48" s="2" t="s">
        <v>194</v>
      </c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2">
        <f>1.02-0.11</f>
        <v>0.91</v>
      </c>
      <c r="AA48" s="2">
        <f>1.02+0.11</f>
        <v>1.1300000000000001</v>
      </c>
      <c r="AB48" s="2" t="s">
        <v>199</v>
      </c>
      <c r="AC48" s="2">
        <f>1.4-0.33</f>
        <v>1.0699999999999998</v>
      </c>
      <c r="AD48" s="2">
        <f>1.4+0.33</f>
        <v>1.73</v>
      </c>
      <c r="AE48" s="2" t="s">
        <v>199</v>
      </c>
      <c r="AF48" s="6" t="s">
        <v>263</v>
      </c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2">
        <v>59</v>
      </c>
      <c r="AY48" s="2">
        <v>56</v>
      </c>
      <c r="AZ48" s="6"/>
      <c r="BA48" s="6"/>
      <c r="BB48" s="6"/>
      <c r="BC48" s="6"/>
      <c r="BD48" s="2" t="s">
        <v>204</v>
      </c>
      <c r="BE48" s="2" t="s">
        <v>229</v>
      </c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</row>
    <row r="49" spans="1:69" ht="28.8">
      <c r="A49" s="2" t="s">
        <v>205</v>
      </c>
      <c r="C49" s="2" t="s">
        <v>184</v>
      </c>
      <c r="D49" s="3" t="s">
        <v>51</v>
      </c>
      <c r="E49" s="3" t="s">
        <v>215</v>
      </c>
      <c r="F49" s="3" t="s">
        <v>240</v>
      </c>
      <c r="G49" s="1">
        <v>0.21</v>
      </c>
      <c r="H49" s="2" t="s">
        <v>219</v>
      </c>
      <c r="I49" s="6" t="s">
        <v>263</v>
      </c>
      <c r="J49" s="6"/>
      <c r="K49" s="6"/>
      <c r="L49" s="6"/>
      <c r="M49" s="6"/>
      <c r="N49" s="6"/>
      <c r="O49" s="6"/>
      <c r="P49" s="6"/>
      <c r="Q49" s="6"/>
      <c r="R49" s="6"/>
      <c r="S49" s="6"/>
      <c r="T49" s="2">
        <f>55.88+0.09</f>
        <v>55.970000000000006</v>
      </c>
      <c r="U49" s="2">
        <f>55.88-0.09</f>
        <v>55.79</v>
      </c>
      <c r="V49" s="2" t="s">
        <v>20</v>
      </c>
      <c r="W49" s="6"/>
      <c r="X49" s="6"/>
      <c r="Y49" s="6"/>
      <c r="Z49" s="2">
        <f>0.46-0.06</f>
        <v>0.4</v>
      </c>
      <c r="AA49" s="2">
        <f>0.46+0.06</f>
        <v>0.52</v>
      </c>
      <c r="AB49" s="2" t="s">
        <v>20</v>
      </c>
      <c r="AC49" s="2">
        <f>0.78-0.06</f>
        <v>0.72</v>
      </c>
      <c r="AD49" s="2">
        <f>0.78+0.06</f>
        <v>0.84000000000000008</v>
      </c>
      <c r="AE49" s="2" t="s">
        <v>20</v>
      </c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20">
        <f>(1-(3.63/2.93))*100</f>
        <v>-23.890784982935152</v>
      </c>
      <c r="AY49" s="2">
        <v>60</v>
      </c>
      <c r="AZ49" s="6"/>
      <c r="BA49" s="6"/>
      <c r="BB49" s="6"/>
      <c r="BC49" s="6"/>
      <c r="BD49" s="2" t="s">
        <v>230</v>
      </c>
      <c r="BE49" s="2" t="s">
        <v>229</v>
      </c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</row>
    <row r="50" spans="1:69" ht="28.8">
      <c r="A50" s="2" t="s">
        <v>205</v>
      </c>
      <c r="C50" s="2" t="s">
        <v>206</v>
      </c>
      <c r="D50" s="3" t="s">
        <v>51</v>
      </c>
      <c r="E50" s="3" t="s">
        <v>216</v>
      </c>
      <c r="F50" s="3" t="s">
        <v>240</v>
      </c>
      <c r="G50" s="1">
        <v>0.18</v>
      </c>
      <c r="H50" s="2" t="s">
        <v>220</v>
      </c>
      <c r="I50" s="6" t="s">
        <v>263</v>
      </c>
      <c r="J50" s="6"/>
      <c r="K50" s="6"/>
      <c r="L50" s="6"/>
      <c r="M50" s="6"/>
      <c r="N50" s="6"/>
      <c r="O50" s="6"/>
      <c r="P50" s="6"/>
      <c r="Q50" s="6"/>
      <c r="R50" s="6"/>
      <c r="S50" s="6"/>
      <c r="T50" s="2">
        <f>68.23+0.08</f>
        <v>68.31</v>
      </c>
      <c r="U50" s="2">
        <f>68.23-0.08</f>
        <v>68.150000000000006</v>
      </c>
      <c r="V50" s="2" t="s">
        <v>20</v>
      </c>
      <c r="W50" s="6"/>
      <c r="X50" s="6"/>
      <c r="Y50" s="6"/>
      <c r="Z50" s="2">
        <f>0.47-0.07</f>
        <v>0.39999999999999997</v>
      </c>
      <c r="AA50" s="2">
        <f>0.47+0.07</f>
        <v>0.54</v>
      </c>
      <c r="AB50" s="2" t="s">
        <v>20</v>
      </c>
      <c r="AC50" s="2">
        <f>0.65-0.03</f>
        <v>0.62</v>
      </c>
      <c r="AD50" s="2">
        <f>0.65+0.03</f>
        <v>0.68</v>
      </c>
      <c r="AE50" s="2" t="s">
        <v>20</v>
      </c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20">
        <f>(1-(2.9/2.7))*100</f>
        <v>-7.4074074074073959</v>
      </c>
      <c r="AY50" s="2">
        <v>60</v>
      </c>
      <c r="AZ50" s="6"/>
      <c r="BA50" s="6"/>
      <c r="BB50" s="6"/>
      <c r="BC50" s="6"/>
      <c r="BD50" s="2" t="s">
        <v>231</v>
      </c>
      <c r="BE50" s="2" t="s">
        <v>229</v>
      </c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</row>
    <row r="51" spans="1:69" ht="28.8">
      <c r="A51" s="2" t="s">
        <v>205</v>
      </c>
      <c r="C51" s="2" t="s">
        <v>207</v>
      </c>
      <c r="D51" s="3" t="s">
        <v>51</v>
      </c>
      <c r="E51" s="3" t="s">
        <v>216</v>
      </c>
      <c r="F51" s="3" t="s">
        <v>240</v>
      </c>
      <c r="G51" s="1">
        <v>0.19</v>
      </c>
      <c r="H51" s="2" t="s">
        <v>221</v>
      </c>
      <c r="I51" s="6" t="s">
        <v>263</v>
      </c>
      <c r="J51" s="6"/>
      <c r="K51" s="6"/>
      <c r="L51" s="6"/>
      <c r="M51" s="6"/>
      <c r="N51" s="6"/>
      <c r="O51" s="6"/>
      <c r="P51" s="6"/>
      <c r="Q51" s="6"/>
      <c r="R51" s="6"/>
      <c r="S51" s="6"/>
      <c r="T51" s="2">
        <f>70.96+0.09</f>
        <v>71.05</v>
      </c>
      <c r="U51" s="2">
        <f>70.96-0.09</f>
        <v>70.86999999999999</v>
      </c>
      <c r="V51" s="2" t="s">
        <v>20</v>
      </c>
      <c r="W51" s="6"/>
      <c r="X51" s="6"/>
      <c r="Y51" s="6"/>
      <c r="Z51" s="2">
        <f>0.49-0.05</f>
        <v>0.44</v>
      </c>
      <c r="AA51" s="2">
        <f>0.49+0.05</f>
        <v>0.54</v>
      </c>
      <c r="AB51" s="2" t="s">
        <v>20</v>
      </c>
      <c r="AC51" s="2">
        <f>0.7-0.03</f>
        <v>0.66999999999999993</v>
      </c>
      <c r="AD51" s="2">
        <f>0.7+0.03</f>
        <v>0.73</v>
      </c>
      <c r="AE51" s="2" t="s">
        <v>20</v>
      </c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20">
        <f>(1-(3.06/2.72))*100</f>
        <v>-12.5</v>
      </c>
      <c r="AY51" s="2">
        <v>60</v>
      </c>
      <c r="AZ51" s="6"/>
      <c r="BA51" s="6"/>
      <c r="BB51" s="6"/>
      <c r="BC51" s="6"/>
      <c r="BD51" s="2" t="s">
        <v>232</v>
      </c>
      <c r="BE51" s="2" t="s">
        <v>229</v>
      </c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</row>
    <row r="52" spans="1:69" ht="28.8">
      <c r="A52" s="2" t="s">
        <v>205</v>
      </c>
      <c r="C52" s="2" t="s">
        <v>208</v>
      </c>
      <c r="D52" s="3" t="s">
        <v>51</v>
      </c>
      <c r="E52" s="3" t="s">
        <v>216</v>
      </c>
      <c r="F52" s="3" t="s">
        <v>240</v>
      </c>
      <c r="G52" s="1">
        <v>0.2</v>
      </c>
      <c r="H52" s="2" t="s">
        <v>222</v>
      </c>
      <c r="I52" s="6" t="s">
        <v>263</v>
      </c>
      <c r="J52" s="6"/>
      <c r="K52" s="6"/>
      <c r="L52" s="6"/>
      <c r="M52" s="6"/>
      <c r="N52" s="6"/>
      <c r="O52" s="6"/>
      <c r="P52" s="6"/>
      <c r="Q52" s="6"/>
      <c r="R52" s="6"/>
      <c r="S52" s="6"/>
      <c r="T52" s="2">
        <f>74.32+0.07</f>
        <v>74.389999999999986</v>
      </c>
      <c r="U52" s="2">
        <f>74.32-0.07</f>
        <v>74.25</v>
      </c>
      <c r="V52" s="2" t="s">
        <v>20</v>
      </c>
      <c r="W52" s="6"/>
      <c r="X52" s="6"/>
      <c r="Y52" s="6"/>
      <c r="Z52" s="2">
        <f>0.57-0.02</f>
        <v>0.54999999999999993</v>
      </c>
      <c r="AA52" s="2">
        <f>0.57+0.02</f>
        <v>0.59</v>
      </c>
      <c r="AB52" s="2" t="s">
        <v>20</v>
      </c>
      <c r="AC52" s="2">
        <f>0.74-0.08</f>
        <v>0.66</v>
      </c>
      <c r="AD52" s="2">
        <f>0.74+0.08</f>
        <v>0.82</v>
      </c>
      <c r="AE52" s="2" t="s">
        <v>20</v>
      </c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20">
        <f>(1-(2.85/2.78))*100</f>
        <v>-2.5179856115107979</v>
      </c>
      <c r="AY52" s="2">
        <v>60</v>
      </c>
      <c r="AZ52" s="6"/>
      <c r="BA52" s="6"/>
      <c r="BB52" s="6"/>
      <c r="BC52" s="6"/>
      <c r="BD52" s="2" t="s">
        <v>233</v>
      </c>
      <c r="BE52" s="2" t="s">
        <v>229</v>
      </c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</row>
    <row r="53" spans="1:69" ht="28.8">
      <c r="A53" s="2" t="s">
        <v>205</v>
      </c>
      <c r="C53" s="2" t="s">
        <v>209</v>
      </c>
      <c r="D53" s="3" t="s">
        <v>51</v>
      </c>
      <c r="E53" s="3" t="s">
        <v>217</v>
      </c>
      <c r="F53" s="3" t="s">
        <v>240</v>
      </c>
      <c r="G53" s="1">
        <v>0.2</v>
      </c>
      <c r="H53" s="2" t="s">
        <v>223</v>
      </c>
      <c r="I53" s="6" t="s">
        <v>263</v>
      </c>
      <c r="J53" s="6"/>
      <c r="K53" s="6"/>
      <c r="L53" s="6"/>
      <c r="M53" s="6"/>
      <c r="N53" s="6"/>
      <c r="O53" s="6"/>
      <c r="P53" s="6"/>
      <c r="Q53" s="6"/>
      <c r="R53" s="6"/>
      <c r="S53" s="6"/>
      <c r="T53" s="2">
        <f>76.05+0.01</f>
        <v>76.06</v>
      </c>
      <c r="U53" s="2">
        <f>76.05-0.01</f>
        <v>76.039999999999992</v>
      </c>
      <c r="V53" s="2" t="s">
        <v>20</v>
      </c>
      <c r="W53" s="6"/>
      <c r="X53" s="6"/>
      <c r="Y53" s="6"/>
      <c r="Z53" s="2">
        <f>0.49-0.07</f>
        <v>0.42</v>
      </c>
      <c r="AA53" s="2">
        <f>0.49+0.07</f>
        <v>0.56000000000000005</v>
      </c>
      <c r="AB53" s="2" t="s">
        <v>20</v>
      </c>
      <c r="AC53" s="2">
        <f>0.6-0.04</f>
        <v>0.55999999999999994</v>
      </c>
      <c r="AD53" s="2">
        <f>0.6+0.04</f>
        <v>0.64</v>
      </c>
      <c r="AE53" s="2" t="s">
        <v>20</v>
      </c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20">
        <f>(1-(2.33/2.85))*100</f>
        <v>18.245614035087719</v>
      </c>
      <c r="AY53" s="2">
        <v>60</v>
      </c>
      <c r="AZ53" s="6"/>
      <c r="BA53" s="6"/>
      <c r="BB53" s="6"/>
      <c r="BC53" s="6"/>
      <c r="BD53" s="2" t="s">
        <v>234</v>
      </c>
      <c r="BE53" s="2" t="s">
        <v>229</v>
      </c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</row>
    <row r="54" spans="1:69" ht="28.8">
      <c r="A54" s="2" t="s">
        <v>205</v>
      </c>
      <c r="C54" s="2" t="s">
        <v>210</v>
      </c>
      <c r="D54" s="3" t="s">
        <v>51</v>
      </c>
      <c r="E54" s="3" t="s">
        <v>217</v>
      </c>
      <c r="F54" s="3" t="s">
        <v>240</v>
      </c>
      <c r="G54" s="1">
        <v>0.21</v>
      </c>
      <c r="H54" s="2" t="s">
        <v>224</v>
      </c>
      <c r="I54" s="6" t="s">
        <v>263</v>
      </c>
      <c r="J54" s="6"/>
      <c r="K54" s="6"/>
      <c r="L54" s="6"/>
      <c r="M54" s="6"/>
      <c r="N54" s="6"/>
      <c r="O54" s="6"/>
      <c r="P54" s="6"/>
      <c r="Q54" s="6"/>
      <c r="R54" s="6"/>
      <c r="S54" s="6"/>
      <c r="T54" s="2">
        <f>52.6+0.19</f>
        <v>52.79</v>
      </c>
      <c r="U54" s="2">
        <f>52.6-0.19</f>
        <v>52.410000000000004</v>
      </c>
      <c r="V54" s="2" t="s">
        <v>20</v>
      </c>
      <c r="W54" s="6"/>
      <c r="X54" s="6"/>
      <c r="Y54" s="6"/>
      <c r="Z54" s="2">
        <f>0.37-0.09</f>
        <v>0.28000000000000003</v>
      </c>
      <c r="AA54" s="2">
        <f>0.37+0.09</f>
        <v>0.45999999999999996</v>
      </c>
      <c r="AB54" s="2" t="s">
        <v>20</v>
      </c>
      <c r="AC54" s="2">
        <f>0.44-0.02</f>
        <v>0.42</v>
      </c>
      <c r="AD54" s="2">
        <f>0.44+0.02</f>
        <v>0.46</v>
      </c>
      <c r="AE54" s="2" t="s">
        <v>20</v>
      </c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20">
        <f>(1-(2.04/3.16))*100</f>
        <v>35.443037974683541</v>
      </c>
      <c r="AY54" s="2">
        <v>60</v>
      </c>
      <c r="AZ54" s="6"/>
      <c r="BA54" s="6"/>
      <c r="BB54" s="6"/>
      <c r="BC54" s="6"/>
      <c r="BD54" s="2" t="s">
        <v>235</v>
      </c>
      <c r="BE54" s="2" t="s">
        <v>229</v>
      </c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</row>
    <row r="55" spans="1:69" ht="28.8">
      <c r="A55" s="2" t="s">
        <v>205</v>
      </c>
      <c r="C55" s="2" t="s">
        <v>211</v>
      </c>
      <c r="D55" s="3" t="s">
        <v>51</v>
      </c>
      <c r="E55" s="3" t="s">
        <v>217</v>
      </c>
      <c r="F55" s="3" t="s">
        <v>240</v>
      </c>
      <c r="G55" s="1">
        <v>0.21</v>
      </c>
      <c r="H55" s="2" t="s">
        <v>225</v>
      </c>
      <c r="I55" s="6" t="s">
        <v>263</v>
      </c>
      <c r="J55" s="6"/>
      <c r="K55" s="6"/>
      <c r="L55" s="6"/>
      <c r="M55" s="6"/>
      <c r="N55" s="6"/>
      <c r="O55" s="6"/>
      <c r="P55" s="6"/>
      <c r="Q55" s="6"/>
      <c r="R55" s="6"/>
      <c r="S55" s="6"/>
      <c r="T55" s="2">
        <f>50.5+0.04</f>
        <v>50.54</v>
      </c>
      <c r="U55" s="2">
        <f>50.5-0.04</f>
        <v>50.46</v>
      </c>
      <c r="V55" s="2" t="s">
        <v>20</v>
      </c>
      <c r="W55" s="6"/>
      <c r="X55" s="6"/>
      <c r="Y55" s="6"/>
      <c r="Z55" s="2">
        <f>0.29-0.03</f>
        <v>0.26</v>
      </c>
      <c r="AA55" s="2">
        <f>0.29+0.03</f>
        <v>0.31999999999999995</v>
      </c>
      <c r="AB55" s="2" t="s">
        <v>20</v>
      </c>
      <c r="AC55" s="2">
        <f>0.38-0.03</f>
        <v>0.35</v>
      </c>
      <c r="AD55" s="2">
        <f>0.38+0.03</f>
        <v>0.41000000000000003</v>
      </c>
      <c r="AE55" s="2" t="s">
        <v>20</v>
      </c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20">
        <f>(1-(1.35/2.81))*100</f>
        <v>51.957295373665481</v>
      </c>
      <c r="AY55" s="2">
        <v>60</v>
      </c>
      <c r="AZ55" s="6"/>
      <c r="BA55" s="6"/>
      <c r="BB55" s="6"/>
      <c r="BC55" s="6"/>
      <c r="BD55" s="2" t="s">
        <v>236</v>
      </c>
      <c r="BE55" s="2" t="s">
        <v>229</v>
      </c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</row>
    <row r="56" spans="1:69" ht="28.8">
      <c r="A56" s="2" t="s">
        <v>205</v>
      </c>
      <c r="C56" s="2" t="s">
        <v>212</v>
      </c>
      <c r="D56" s="3" t="s">
        <v>51</v>
      </c>
      <c r="E56" s="3" t="s">
        <v>218</v>
      </c>
      <c r="F56" s="3" t="s">
        <v>240</v>
      </c>
      <c r="G56" s="1">
        <v>0.16</v>
      </c>
      <c r="H56" s="2" t="s">
        <v>226</v>
      </c>
      <c r="I56" s="6" t="s">
        <v>263</v>
      </c>
      <c r="J56" s="6"/>
      <c r="K56" s="6"/>
      <c r="L56" s="6"/>
      <c r="M56" s="6"/>
      <c r="N56" s="6"/>
      <c r="O56" s="6"/>
      <c r="P56" s="6"/>
      <c r="Q56" s="6"/>
      <c r="R56" s="6"/>
      <c r="S56" s="6"/>
      <c r="T56" s="2">
        <f>64.87+0.06</f>
        <v>64.930000000000007</v>
      </c>
      <c r="U56" s="2">
        <f>64.87-0.06</f>
        <v>64.81</v>
      </c>
      <c r="V56" s="2" t="s">
        <v>20</v>
      </c>
      <c r="W56" s="6"/>
      <c r="X56" s="6"/>
      <c r="Y56" s="6"/>
      <c r="Z56" s="2">
        <f>0.49-0.04</f>
        <v>0.45</v>
      </c>
      <c r="AA56" s="2">
        <f>0.49+0.04</f>
        <v>0.53</v>
      </c>
      <c r="AB56" s="2" t="s">
        <v>20</v>
      </c>
      <c r="AC56" s="2">
        <f>0.63-0.06</f>
        <v>0.57000000000000006</v>
      </c>
      <c r="AD56" s="2">
        <f>0.63+0.06</f>
        <v>0.69</v>
      </c>
      <c r="AE56" s="2" t="s">
        <v>20</v>
      </c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20">
        <f>(1-(2.12/3.06))*100</f>
        <v>30.718954248366014</v>
      </c>
      <c r="AY56" s="2">
        <v>60</v>
      </c>
      <c r="AZ56" s="6"/>
      <c r="BA56" s="6"/>
      <c r="BB56" s="6"/>
      <c r="BC56" s="6"/>
      <c r="BD56" s="2" t="s">
        <v>237</v>
      </c>
      <c r="BE56" s="2" t="s">
        <v>229</v>
      </c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</row>
    <row r="57" spans="1:69" ht="28.8">
      <c r="A57" s="2" t="s">
        <v>205</v>
      </c>
      <c r="C57" s="2" t="s">
        <v>213</v>
      </c>
      <c r="D57" s="3" t="s">
        <v>51</v>
      </c>
      <c r="E57" s="3" t="s">
        <v>218</v>
      </c>
      <c r="F57" s="3" t="s">
        <v>240</v>
      </c>
      <c r="G57" s="1">
        <v>0.15</v>
      </c>
      <c r="H57" s="2" t="s">
        <v>227</v>
      </c>
      <c r="I57" s="6" t="s">
        <v>263</v>
      </c>
      <c r="J57" s="6"/>
      <c r="K57" s="6"/>
      <c r="L57" s="6"/>
      <c r="M57" s="6"/>
      <c r="N57" s="6"/>
      <c r="O57" s="6"/>
      <c r="P57" s="6"/>
      <c r="Q57" s="6"/>
      <c r="R57" s="6"/>
      <c r="S57" s="6"/>
      <c r="T57" s="2">
        <f>43.7+0.08</f>
        <v>43.78</v>
      </c>
      <c r="U57" s="2">
        <f>43.7-0.08</f>
        <v>43.620000000000005</v>
      </c>
      <c r="V57" s="2" t="s">
        <v>20</v>
      </c>
      <c r="W57" s="6"/>
      <c r="X57" s="6"/>
      <c r="Y57" s="6"/>
      <c r="Z57" s="2">
        <f>0.33-0.03</f>
        <v>0.30000000000000004</v>
      </c>
      <c r="AA57" s="2">
        <f>0.33+0.03</f>
        <v>0.36</v>
      </c>
      <c r="AB57" s="2" t="s">
        <v>20</v>
      </c>
      <c r="AC57" s="2">
        <f>0.63-0.06</f>
        <v>0.57000000000000006</v>
      </c>
      <c r="AD57" s="2">
        <f>0.63+0.06</f>
        <v>0.69</v>
      </c>
      <c r="AE57" s="2" t="s">
        <v>20</v>
      </c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20">
        <f>(1-(0.2/2.12))*100</f>
        <v>90.566037735849065</v>
      </c>
      <c r="AY57" s="2">
        <v>60</v>
      </c>
      <c r="AZ57" s="6"/>
      <c r="BA57" s="6"/>
      <c r="BB57" s="6"/>
      <c r="BC57" s="6"/>
      <c r="BD57" s="2" t="s">
        <v>238</v>
      </c>
      <c r="BE57" s="2" t="s">
        <v>229</v>
      </c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</row>
    <row r="58" spans="1:69" ht="28.8">
      <c r="A58" s="2" t="s">
        <v>205</v>
      </c>
      <c r="C58" s="2" t="s">
        <v>214</v>
      </c>
      <c r="D58" s="3" t="s">
        <v>51</v>
      </c>
      <c r="E58" s="3" t="s">
        <v>218</v>
      </c>
      <c r="F58" s="3" t="s">
        <v>240</v>
      </c>
      <c r="G58" s="1">
        <v>0.12</v>
      </c>
      <c r="H58" s="2" t="s">
        <v>228</v>
      </c>
      <c r="I58" s="6" t="s">
        <v>263</v>
      </c>
      <c r="J58" s="6"/>
      <c r="K58" s="6"/>
      <c r="L58" s="6"/>
      <c r="M58" s="6"/>
      <c r="N58" s="6"/>
      <c r="O58" s="6"/>
      <c r="P58" s="6"/>
      <c r="Q58" s="6"/>
      <c r="R58" s="6"/>
      <c r="S58" s="6"/>
      <c r="T58" s="2">
        <f>27.4+0.03</f>
        <v>27.43</v>
      </c>
      <c r="U58" s="2">
        <f>27.4-0.03</f>
        <v>27.369999999999997</v>
      </c>
      <c r="V58" s="2" t="s">
        <v>20</v>
      </c>
      <c r="W58" s="6"/>
      <c r="X58" s="6"/>
      <c r="Y58" s="6"/>
      <c r="Z58" s="2">
        <f>0.2-0.01</f>
        <v>0.19</v>
      </c>
      <c r="AA58" s="2">
        <f>0.2+0.01</f>
        <v>0.21000000000000002</v>
      </c>
      <c r="AB58" s="2" t="s">
        <v>20</v>
      </c>
      <c r="AC58" s="2">
        <f>0.72-0.06</f>
        <v>0.65999999999999992</v>
      </c>
      <c r="AD58" s="2">
        <f>0.72+0.06</f>
        <v>0.78</v>
      </c>
      <c r="AE58" s="2" t="s">
        <v>20</v>
      </c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20">
        <f>(1-(0.14/2.25))*100</f>
        <v>93.777777777777786</v>
      </c>
      <c r="AY58" s="2">
        <v>60</v>
      </c>
      <c r="AZ58" s="6"/>
      <c r="BA58" s="6"/>
      <c r="BB58" s="6"/>
      <c r="BC58" s="6"/>
      <c r="BD58" s="2" t="s">
        <v>239</v>
      </c>
      <c r="BE58" s="2" t="s">
        <v>229</v>
      </c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</row>
    <row r="59" spans="1:69" s="21" customFormat="1" ht="28.8">
      <c r="A59" s="21" t="s">
        <v>241</v>
      </c>
      <c r="C59" s="21" t="s">
        <v>252</v>
      </c>
      <c r="D59" s="22" t="s">
        <v>242</v>
      </c>
      <c r="E59" s="22" t="s">
        <v>243</v>
      </c>
      <c r="F59" s="22" t="s">
        <v>132</v>
      </c>
      <c r="G59" s="23">
        <v>1.24</v>
      </c>
      <c r="H59" s="21" t="s">
        <v>76</v>
      </c>
      <c r="L59" s="21">
        <v>84</v>
      </c>
      <c r="M59" s="21">
        <v>84</v>
      </c>
      <c r="N59" s="21" t="s">
        <v>244</v>
      </c>
      <c r="W59" s="21">
        <v>17</v>
      </c>
      <c r="X59" s="21">
        <v>17</v>
      </c>
      <c r="Y59" s="21" t="s">
        <v>246</v>
      </c>
      <c r="Z59" s="21">
        <v>24</v>
      </c>
      <c r="AA59" s="21">
        <v>24</v>
      </c>
      <c r="AB59" s="21" t="s">
        <v>245</v>
      </c>
      <c r="AC59" s="21">
        <v>380</v>
      </c>
      <c r="AD59" s="21">
        <v>380</v>
      </c>
      <c r="AE59" s="21" t="s">
        <v>245</v>
      </c>
      <c r="AO59" s="21">
        <v>47</v>
      </c>
      <c r="AP59" s="21">
        <v>47</v>
      </c>
      <c r="AQ59" s="21" t="s">
        <v>247</v>
      </c>
      <c r="AU59" s="21">
        <v>56</v>
      </c>
      <c r="AV59" s="21">
        <v>56</v>
      </c>
      <c r="AW59" s="21" t="s">
        <v>251</v>
      </c>
      <c r="AX59" s="21">
        <v>90</v>
      </c>
      <c r="AY59" s="21">
        <v>730</v>
      </c>
      <c r="BD59" s="21" t="s">
        <v>253</v>
      </c>
      <c r="BE59" s="21" t="s">
        <v>254</v>
      </c>
      <c r="BF59" s="21" t="s">
        <v>263</v>
      </c>
    </row>
    <row r="60" spans="1:69" s="21" customFormat="1" ht="28.8">
      <c r="A60" s="21" t="s">
        <v>256</v>
      </c>
      <c r="C60" s="21" t="s">
        <v>257</v>
      </c>
      <c r="D60" s="22" t="s">
        <v>258</v>
      </c>
      <c r="E60" s="22" t="s">
        <v>259</v>
      </c>
      <c r="F60" s="22" t="s">
        <v>260</v>
      </c>
      <c r="G60" s="23">
        <v>1.37</v>
      </c>
      <c r="H60" s="21" t="s">
        <v>76</v>
      </c>
      <c r="L60" s="21">
        <v>110</v>
      </c>
      <c r="M60" s="21">
        <v>155</v>
      </c>
      <c r="N60" s="21" t="s">
        <v>261</v>
      </c>
      <c r="T60" s="21">
        <v>130</v>
      </c>
      <c r="U60" s="21">
        <v>260</v>
      </c>
      <c r="V60" s="21" t="s">
        <v>262</v>
      </c>
      <c r="W60" s="21" t="s">
        <v>263</v>
      </c>
      <c r="Z60" s="21">
        <v>20</v>
      </c>
      <c r="AA60" s="21">
        <v>25</v>
      </c>
      <c r="AB60" s="21" t="s">
        <v>262</v>
      </c>
      <c r="AC60" s="21">
        <v>180</v>
      </c>
      <c r="AD60" s="21">
        <v>380</v>
      </c>
      <c r="AE60" s="21" t="s">
        <v>262</v>
      </c>
      <c r="AF60" s="21" t="s">
        <v>263</v>
      </c>
      <c r="AL60" s="21" t="s">
        <v>263</v>
      </c>
      <c r="AX60" s="21">
        <v>90</v>
      </c>
      <c r="AY60" s="21">
        <v>730</v>
      </c>
      <c r="BD60" s="21" t="s">
        <v>260</v>
      </c>
      <c r="BE60" s="21" t="s">
        <v>254</v>
      </c>
      <c r="BF60" s="21" t="s">
        <v>263</v>
      </c>
    </row>
    <row r="61" spans="1:69" s="21" customFormat="1" ht="28.8">
      <c r="A61" s="21" t="s">
        <v>264</v>
      </c>
      <c r="C61" s="21" t="s">
        <v>265</v>
      </c>
      <c r="D61" s="22" t="s">
        <v>266</v>
      </c>
      <c r="E61" s="22" t="s">
        <v>267</v>
      </c>
      <c r="F61" s="22" t="s">
        <v>132</v>
      </c>
      <c r="G61" s="23">
        <v>1.36</v>
      </c>
      <c r="H61" s="21" t="s">
        <v>76</v>
      </c>
      <c r="AF61" s="21">
        <v>2600</v>
      </c>
      <c r="AG61" s="21">
        <v>2600</v>
      </c>
      <c r="AH61" s="21" t="s">
        <v>271</v>
      </c>
      <c r="BN61" s="26">
        <v>0.9</v>
      </c>
      <c r="BO61" s="21">
        <v>180</v>
      </c>
      <c r="BP61" s="21" t="s">
        <v>272</v>
      </c>
      <c r="BQ61" s="21" t="s">
        <v>273</v>
      </c>
    </row>
    <row r="62" spans="1:69" s="21" customFormat="1">
      <c r="A62" s="21" t="s">
        <v>274</v>
      </c>
      <c r="B62" s="21" t="s">
        <v>321</v>
      </c>
      <c r="C62" s="21" t="s">
        <v>275</v>
      </c>
      <c r="D62" s="22" t="s">
        <v>276</v>
      </c>
      <c r="E62" s="22" t="s">
        <v>313</v>
      </c>
      <c r="F62" s="22" t="s">
        <v>132</v>
      </c>
      <c r="G62" s="23"/>
      <c r="T62" s="21">
        <v>979</v>
      </c>
      <c r="U62" s="21">
        <v>1007</v>
      </c>
      <c r="V62" s="21" t="s">
        <v>277</v>
      </c>
      <c r="W62" s="21">
        <v>25.3</v>
      </c>
      <c r="X62" s="21">
        <v>25.7</v>
      </c>
      <c r="Y62" s="21" t="s">
        <v>277</v>
      </c>
      <c r="Z62" s="21">
        <v>23.9</v>
      </c>
      <c r="AA62" s="21">
        <v>24.3</v>
      </c>
      <c r="AB62" s="21" t="s">
        <v>277</v>
      </c>
      <c r="AC62" s="21">
        <v>63</v>
      </c>
      <c r="AD62" s="21">
        <v>69</v>
      </c>
      <c r="AE62" s="21" t="s">
        <v>277</v>
      </c>
      <c r="AF62" s="21">
        <v>8490</v>
      </c>
      <c r="AG62" s="21">
        <v>8710</v>
      </c>
      <c r="AH62" s="21" t="s">
        <v>278</v>
      </c>
      <c r="AI62" s="21">
        <v>196</v>
      </c>
      <c r="AJ62" s="21">
        <v>204</v>
      </c>
      <c r="AK62" s="21" t="s">
        <v>282</v>
      </c>
      <c r="AO62" s="21">
        <v>0.2</v>
      </c>
      <c r="AP62" s="21">
        <v>0.2</v>
      </c>
      <c r="AQ62" s="21" t="s">
        <v>283</v>
      </c>
      <c r="AX62" s="21">
        <v>90</v>
      </c>
      <c r="AY62" s="21">
        <v>730</v>
      </c>
      <c r="BD62" s="21" t="s">
        <v>272</v>
      </c>
      <c r="BE62" s="21" t="s">
        <v>254</v>
      </c>
      <c r="BF62" s="21" t="s">
        <v>263</v>
      </c>
    </row>
    <row r="63" spans="1:69" s="21" customFormat="1">
      <c r="A63" s="21" t="s">
        <v>274</v>
      </c>
      <c r="B63" s="21" t="s">
        <v>321</v>
      </c>
      <c r="C63" s="21" t="s">
        <v>284</v>
      </c>
      <c r="D63" s="22" t="s">
        <v>276</v>
      </c>
      <c r="E63" s="22" t="s">
        <v>313</v>
      </c>
      <c r="F63" s="22" t="s">
        <v>132</v>
      </c>
      <c r="G63" s="23"/>
      <c r="T63" s="21">
        <v>414</v>
      </c>
      <c r="U63" s="21">
        <v>426</v>
      </c>
      <c r="V63" s="21" t="s">
        <v>277</v>
      </c>
      <c r="W63" s="21">
        <v>26.6</v>
      </c>
      <c r="X63" s="21">
        <v>27.2</v>
      </c>
      <c r="Y63" s="21" t="s">
        <v>277</v>
      </c>
      <c r="Z63" s="21">
        <v>22.9</v>
      </c>
      <c r="AA63" s="21">
        <v>21.3</v>
      </c>
      <c r="AB63" s="21" t="s">
        <v>277</v>
      </c>
      <c r="AC63" s="21">
        <v>10.7</v>
      </c>
      <c r="AD63" s="21">
        <v>11.3</v>
      </c>
      <c r="AE63" s="21" t="s">
        <v>277</v>
      </c>
      <c r="AX63" s="21">
        <v>90</v>
      </c>
      <c r="AY63" s="21">
        <v>730</v>
      </c>
      <c r="BD63" s="21" t="s">
        <v>272</v>
      </c>
      <c r="BE63" s="21" t="s">
        <v>254</v>
      </c>
      <c r="BF63" s="21" t="s">
        <v>263</v>
      </c>
      <c r="BN63" s="21">
        <v>90</v>
      </c>
      <c r="BO63" s="21">
        <v>180</v>
      </c>
      <c r="BP63" s="21" t="s">
        <v>272</v>
      </c>
      <c r="BQ63" s="21" t="s">
        <v>273</v>
      </c>
    </row>
    <row r="64" spans="1:69" s="21" customFormat="1">
      <c r="A64" s="21" t="s">
        <v>286</v>
      </c>
      <c r="B64" s="21" t="s">
        <v>287</v>
      </c>
      <c r="C64" s="21" t="s">
        <v>288</v>
      </c>
      <c r="D64" s="22" t="s">
        <v>289</v>
      </c>
      <c r="E64" s="22" t="s">
        <v>290</v>
      </c>
      <c r="F64" s="22" t="s">
        <v>260</v>
      </c>
      <c r="G64" s="23"/>
      <c r="T64" s="21">
        <v>100</v>
      </c>
      <c r="U64" s="21">
        <v>1000</v>
      </c>
      <c r="V64" s="21" t="s">
        <v>20</v>
      </c>
      <c r="Z64" s="21">
        <v>24</v>
      </c>
      <c r="AA64" s="21">
        <v>40</v>
      </c>
      <c r="AB64" s="21" t="s">
        <v>20</v>
      </c>
      <c r="AC64" s="21">
        <v>200</v>
      </c>
      <c r="AD64" s="21">
        <v>1000</v>
      </c>
      <c r="AE64" s="21" t="s">
        <v>20</v>
      </c>
      <c r="AX64" s="21">
        <v>90</v>
      </c>
      <c r="AY64" s="21">
        <v>730</v>
      </c>
      <c r="BD64" s="21" t="s">
        <v>260</v>
      </c>
      <c r="BE64" s="21" t="s">
        <v>254</v>
      </c>
      <c r="BF64" s="21" t="s">
        <v>263</v>
      </c>
    </row>
    <row r="65" spans="1:69" s="21" customFormat="1">
      <c r="A65" s="21" t="s">
        <v>291</v>
      </c>
      <c r="B65" s="21" t="s">
        <v>292</v>
      </c>
      <c r="C65" s="21" t="s">
        <v>293</v>
      </c>
      <c r="D65" s="22" t="s">
        <v>294</v>
      </c>
      <c r="E65" s="22" t="s">
        <v>298</v>
      </c>
      <c r="F65" s="22" t="s">
        <v>132</v>
      </c>
      <c r="G65" s="23">
        <v>1.22</v>
      </c>
      <c r="H65" s="21" t="s">
        <v>38</v>
      </c>
      <c r="T65" s="21">
        <v>1750</v>
      </c>
      <c r="U65" s="21">
        <v>1750</v>
      </c>
      <c r="V65" s="21" t="s">
        <v>295</v>
      </c>
      <c r="W65" s="21">
        <v>25</v>
      </c>
      <c r="X65" s="21">
        <v>25</v>
      </c>
      <c r="Y65" s="21" t="s">
        <v>295</v>
      </c>
      <c r="Z65" s="21">
        <v>25</v>
      </c>
      <c r="AA65" s="21">
        <v>25</v>
      </c>
      <c r="AB65" s="21" t="s">
        <v>295</v>
      </c>
      <c r="AC65" s="21">
        <v>4</v>
      </c>
      <c r="AD65" s="21">
        <v>4</v>
      </c>
      <c r="AE65" s="21" t="s">
        <v>295</v>
      </c>
      <c r="AO65" s="21">
        <v>12</v>
      </c>
      <c r="AP65" s="21">
        <v>12</v>
      </c>
      <c r="AQ65" s="21" t="s">
        <v>296</v>
      </c>
      <c r="AX65" s="21">
        <v>90</v>
      </c>
      <c r="AY65" s="21">
        <v>730</v>
      </c>
      <c r="BD65" s="21" t="s">
        <v>38</v>
      </c>
      <c r="BE65" s="21" t="s">
        <v>254</v>
      </c>
      <c r="BF65" s="21" t="s">
        <v>263</v>
      </c>
    </row>
    <row r="66" spans="1:69" s="21" customFormat="1">
      <c r="A66" s="21" t="s">
        <v>291</v>
      </c>
      <c r="B66" s="21" t="s">
        <v>292</v>
      </c>
      <c r="C66" s="21" t="s">
        <v>297</v>
      </c>
      <c r="D66" s="22" t="s">
        <v>294</v>
      </c>
      <c r="E66" s="22" t="s">
        <v>298</v>
      </c>
      <c r="F66" s="22" t="s">
        <v>132</v>
      </c>
      <c r="G66" s="23">
        <v>1.2</v>
      </c>
      <c r="H66" s="21" t="s">
        <v>38</v>
      </c>
      <c r="T66" s="21">
        <v>1500</v>
      </c>
      <c r="U66" s="21">
        <v>1500</v>
      </c>
      <c r="V66" s="21" t="s">
        <v>295</v>
      </c>
      <c r="W66" s="21">
        <v>26</v>
      </c>
      <c r="X66" s="21">
        <v>26</v>
      </c>
      <c r="Y66" s="21" t="s">
        <v>295</v>
      </c>
      <c r="Z66" s="21">
        <v>26</v>
      </c>
      <c r="AA66" s="21">
        <v>26</v>
      </c>
      <c r="AB66" s="21" t="s">
        <v>295</v>
      </c>
      <c r="AC66" s="21">
        <v>5.5</v>
      </c>
      <c r="AD66" s="21">
        <v>5.5</v>
      </c>
      <c r="AE66" s="21" t="s">
        <v>295</v>
      </c>
      <c r="AO66" s="21">
        <v>14</v>
      </c>
      <c r="AP66" s="21">
        <v>14</v>
      </c>
      <c r="AQ66" s="21" t="s">
        <v>296</v>
      </c>
      <c r="AX66" s="21">
        <v>90</v>
      </c>
      <c r="AY66" s="21">
        <v>730</v>
      </c>
      <c r="BD66" s="21" t="s">
        <v>38</v>
      </c>
      <c r="BE66" s="21" t="s">
        <v>254</v>
      </c>
      <c r="BF66" s="21" t="s">
        <v>263</v>
      </c>
    </row>
    <row r="67" spans="1:69" s="21" customFormat="1">
      <c r="A67" s="21" t="s">
        <v>299</v>
      </c>
      <c r="B67" s="21" t="s">
        <v>300</v>
      </c>
      <c r="C67" s="21" t="s">
        <v>301</v>
      </c>
      <c r="D67" s="22" t="s">
        <v>360</v>
      </c>
      <c r="E67" s="22" t="s">
        <v>302</v>
      </c>
      <c r="F67" s="22" t="s">
        <v>260</v>
      </c>
      <c r="G67" s="23">
        <v>1.41</v>
      </c>
      <c r="H67" s="21" t="s">
        <v>76</v>
      </c>
      <c r="T67" s="21">
        <v>180</v>
      </c>
      <c r="U67" s="21">
        <v>240</v>
      </c>
      <c r="V67" s="21" t="s">
        <v>262</v>
      </c>
      <c r="W67" s="21">
        <v>23</v>
      </c>
      <c r="X67" s="21">
        <v>26.5</v>
      </c>
      <c r="Y67" s="21" t="s">
        <v>262</v>
      </c>
      <c r="Z67" s="21">
        <v>23</v>
      </c>
      <c r="AA67" s="21">
        <v>25.5</v>
      </c>
      <c r="AB67" s="21" t="s">
        <v>262</v>
      </c>
      <c r="AC67" s="21">
        <v>375</v>
      </c>
      <c r="AD67" s="21">
        <v>560</v>
      </c>
      <c r="AE67" s="21" t="s">
        <v>262</v>
      </c>
      <c r="AF67" s="21" t="s">
        <v>263</v>
      </c>
      <c r="AO67" s="21">
        <v>270</v>
      </c>
      <c r="AP67" s="21">
        <v>270</v>
      </c>
      <c r="AQ67" s="21" t="s">
        <v>303</v>
      </c>
      <c r="AR67" s="21" t="s">
        <v>263</v>
      </c>
      <c r="AX67" s="21">
        <v>90</v>
      </c>
      <c r="AY67" s="21">
        <v>730</v>
      </c>
      <c r="BD67" s="21" t="s">
        <v>260</v>
      </c>
      <c r="BE67" s="21" t="s">
        <v>254</v>
      </c>
      <c r="BF67" s="21" t="s">
        <v>263</v>
      </c>
    </row>
    <row r="68" spans="1:69" s="21" customFormat="1">
      <c r="A68" s="21" t="s">
        <v>255</v>
      </c>
      <c r="B68" s="24" t="s">
        <v>304</v>
      </c>
      <c r="C68" s="21" t="s">
        <v>308</v>
      </c>
      <c r="D68" s="22" t="s">
        <v>31</v>
      </c>
      <c r="E68" s="25" t="s">
        <v>305</v>
      </c>
      <c r="F68" s="22" t="s">
        <v>132</v>
      </c>
      <c r="G68" s="23">
        <v>1.25</v>
      </c>
      <c r="H68" s="21" t="s">
        <v>76</v>
      </c>
      <c r="L68" s="21">
        <v>110</v>
      </c>
      <c r="M68" s="21">
        <v>120</v>
      </c>
      <c r="N68" s="21" t="s">
        <v>261</v>
      </c>
      <c r="Z68" s="21">
        <v>35</v>
      </c>
      <c r="AA68" s="21">
        <v>44</v>
      </c>
      <c r="AB68" s="21" t="s">
        <v>295</v>
      </c>
      <c r="AC68" s="21">
        <v>560</v>
      </c>
      <c r="AD68" s="21">
        <v>710</v>
      </c>
      <c r="AE68" s="21" t="s">
        <v>295</v>
      </c>
      <c r="AR68" s="21">
        <v>32</v>
      </c>
      <c r="AS68" s="21">
        <v>32</v>
      </c>
      <c r="AT68" s="21" t="s">
        <v>306</v>
      </c>
      <c r="AX68" s="21">
        <v>90</v>
      </c>
      <c r="AY68" s="21">
        <v>730</v>
      </c>
      <c r="BD68" s="21" t="s">
        <v>307</v>
      </c>
      <c r="BE68" s="21" t="s">
        <v>254</v>
      </c>
      <c r="BF68" s="21" t="s">
        <v>263</v>
      </c>
    </row>
    <row r="69" spans="1:69" s="21" customFormat="1" ht="28.8">
      <c r="A69" s="21" t="s">
        <v>256</v>
      </c>
      <c r="C69" s="21" t="s">
        <v>309</v>
      </c>
      <c r="D69" s="22" t="s">
        <v>258</v>
      </c>
      <c r="E69" s="22" t="s">
        <v>259</v>
      </c>
      <c r="F69" s="22" t="s">
        <v>260</v>
      </c>
      <c r="G69" s="23"/>
      <c r="T69" s="21">
        <v>130</v>
      </c>
      <c r="U69" s="21">
        <v>260</v>
      </c>
      <c r="V69" s="21" t="s">
        <v>262</v>
      </c>
      <c r="Z69" s="21">
        <v>20</v>
      </c>
      <c r="AA69" s="21">
        <v>25</v>
      </c>
      <c r="AB69" s="21" t="s">
        <v>262</v>
      </c>
      <c r="AC69" s="21">
        <v>180</v>
      </c>
      <c r="AD69" s="21">
        <v>380</v>
      </c>
      <c r="AE69" s="21" t="s">
        <v>262</v>
      </c>
      <c r="AX69" s="21">
        <v>90</v>
      </c>
      <c r="AY69" s="21">
        <v>730</v>
      </c>
      <c r="BD69" s="21" t="s">
        <v>260</v>
      </c>
      <c r="BE69" s="21" t="s">
        <v>254</v>
      </c>
      <c r="BF69" s="21" t="s">
        <v>263</v>
      </c>
    </row>
    <row r="70" spans="1:69" s="21" customFormat="1">
      <c r="A70" s="21" t="s">
        <v>310</v>
      </c>
      <c r="B70" s="21" t="s">
        <v>311</v>
      </c>
      <c r="C70" s="21" t="s">
        <v>312</v>
      </c>
      <c r="D70" s="22" t="s">
        <v>276</v>
      </c>
      <c r="E70" s="22" t="s">
        <v>313</v>
      </c>
      <c r="F70" s="22" t="s">
        <v>307</v>
      </c>
      <c r="G70" s="23">
        <v>1.22</v>
      </c>
      <c r="H70" s="21" t="s">
        <v>76</v>
      </c>
      <c r="I70" s="21">
        <v>1</v>
      </c>
      <c r="J70" s="21">
        <v>1</v>
      </c>
      <c r="K70" s="21" t="s">
        <v>261</v>
      </c>
      <c r="L70" s="21">
        <v>149</v>
      </c>
      <c r="M70" s="21">
        <v>149</v>
      </c>
      <c r="N70" s="21" t="s">
        <v>261</v>
      </c>
      <c r="AF70" s="21">
        <v>1600</v>
      </c>
      <c r="AG70" s="21">
        <v>1600</v>
      </c>
      <c r="AH70" s="21" t="s">
        <v>271</v>
      </c>
      <c r="AL70" s="21">
        <v>1.5</v>
      </c>
      <c r="AM70" s="21">
        <v>1.5</v>
      </c>
      <c r="AN70" s="21" t="s">
        <v>38</v>
      </c>
      <c r="AX70" s="21">
        <v>90</v>
      </c>
      <c r="AY70" s="21">
        <v>730</v>
      </c>
      <c r="BD70" s="21" t="s">
        <v>132</v>
      </c>
      <c r="BE70" s="21" t="s">
        <v>254</v>
      </c>
      <c r="BJ70" s="21">
        <v>90</v>
      </c>
      <c r="BK70" s="21">
        <v>56</v>
      </c>
      <c r="BL70" s="21" t="s">
        <v>132</v>
      </c>
      <c r="BM70" s="21" t="s">
        <v>316</v>
      </c>
      <c r="BN70" s="21">
        <v>90</v>
      </c>
      <c r="BO70" s="21">
        <v>180</v>
      </c>
      <c r="BP70" s="21" t="s">
        <v>132</v>
      </c>
      <c r="BQ70" s="21" t="s">
        <v>273</v>
      </c>
    </row>
    <row r="71" spans="1:69" s="21" customFormat="1">
      <c r="A71" s="21" t="s">
        <v>310</v>
      </c>
      <c r="B71" s="21" t="s">
        <v>315</v>
      </c>
      <c r="C71" s="21" t="s">
        <v>314</v>
      </c>
      <c r="D71" s="22" t="s">
        <v>276</v>
      </c>
      <c r="E71" s="22" t="s">
        <v>313</v>
      </c>
      <c r="F71" s="22" t="s">
        <v>307</v>
      </c>
      <c r="G71" s="23">
        <v>1.21</v>
      </c>
      <c r="H71" s="21" t="s">
        <v>76</v>
      </c>
      <c r="I71" s="21">
        <v>-1</v>
      </c>
      <c r="J71" s="21">
        <v>-1</v>
      </c>
      <c r="K71" s="21" t="s">
        <v>261</v>
      </c>
      <c r="L71" s="21">
        <v>132</v>
      </c>
      <c r="M71" s="21">
        <v>132</v>
      </c>
      <c r="N71" s="21" t="s">
        <v>261</v>
      </c>
      <c r="AF71" s="21">
        <v>640</v>
      </c>
      <c r="AG71" s="21">
        <v>640</v>
      </c>
      <c r="AH71" s="21" t="s">
        <v>271</v>
      </c>
      <c r="AL71" s="21">
        <v>3.8</v>
      </c>
      <c r="AM71" s="21">
        <v>3.4</v>
      </c>
      <c r="AN71" s="21" t="s">
        <v>38</v>
      </c>
      <c r="AX71" s="21">
        <v>90</v>
      </c>
      <c r="AY71" s="21">
        <v>730</v>
      </c>
      <c r="BD71" s="21" t="s">
        <v>132</v>
      </c>
      <c r="BE71" s="21" t="s">
        <v>254</v>
      </c>
      <c r="BF71" s="21" t="s">
        <v>263</v>
      </c>
      <c r="BJ71" s="21">
        <v>90</v>
      </c>
      <c r="BK71" s="21">
        <v>56</v>
      </c>
      <c r="BL71" s="21" t="s">
        <v>132</v>
      </c>
      <c r="BM71" s="21" t="s">
        <v>316</v>
      </c>
      <c r="BN71" s="21">
        <v>90</v>
      </c>
      <c r="BO71" s="21">
        <v>180</v>
      </c>
      <c r="BP71" s="21" t="s">
        <v>132</v>
      </c>
      <c r="BQ71" s="21" t="s">
        <v>273</v>
      </c>
    </row>
    <row r="72" spans="1:69" s="21" customFormat="1">
      <c r="A72" s="21" t="s">
        <v>274</v>
      </c>
      <c r="B72" s="21" t="s">
        <v>321</v>
      </c>
      <c r="C72" s="21" t="s">
        <v>317</v>
      </c>
      <c r="D72" s="22" t="s">
        <v>276</v>
      </c>
      <c r="E72" s="22" t="s">
        <v>313</v>
      </c>
      <c r="F72" s="22" t="s">
        <v>307</v>
      </c>
      <c r="G72" s="23"/>
      <c r="T72" s="21">
        <v>650</v>
      </c>
      <c r="U72" s="21">
        <v>1000</v>
      </c>
      <c r="V72" s="21" t="s">
        <v>318</v>
      </c>
      <c r="W72" s="21">
        <v>25.5</v>
      </c>
      <c r="X72" s="21">
        <v>33.700000000000003</v>
      </c>
      <c r="Y72" s="21" t="s">
        <v>168</v>
      </c>
      <c r="Z72" s="21">
        <v>23.5</v>
      </c>
      <c r="AA72" s="21">
        <v>31.7</v>
      </c>
      <c r="AB72" s="21" t="s">
        <v>168</v>
      </c>
      <c r="AC72" s="21">
        <v>7</v>
      </c>
      <c r="AD72" s="21">
        <v>7</v>
      </c>
      <c r="AE72" s="21" t="s">
        <v>318</v>
      </c>
      <c r="AF72" s="21">
        <v>1150</v>
      </c>
      <c r="AG72" s="21">
        <v>1190</v>
      </c>
      <c r="AH72" s="21" t="s">
        <v>319</v>
      </c>
      <c r="AI72" s="21">
        <v>18.5</v>
      </c>
      <c r="AJ72" s="21">
        <v>18.7</v>
      </c>
      <c r="AK72" s="21" t="s">
        <v>319</v>
      </c>
      <c r="AX72" s="21">
        <v>90</v>
      </c>
      <c r="AY72" s="21">
        <v>730</v>
      </c>
      <c r="BD72" s="21" t="s">
        <v>132</v>
      </c>
      <c r="BE72" s="21" t="s">
        <v>254</v>
      </c>
      <c r="BF72" s="21" t="s">
        <v>263</v>
      </c>
    </row>
    <row r="73" spans="1:69" s="21" customFormat="1">
      <c r="A73" s="21" t="s">
        <v>274</v>
      </c>
      <c r="B73" s="21" t="s">
        <v>321</v>
      </c>
      <c r="C73" s="21" t="s">
        <v>320</v>
      </c>
      <c r="D73" s="22" t="s">
        <v>276</v>
      </c>
      <c r="E73" s="22" t="s">
        <v>313</v>
      </c>
      <c r="F73" s="22" t="s">
        <v>307</v>
      </c>
      <c r="G73" s="23"/>
      <c r="T73" s="21">
        <v>1175</v>
      </c>
      <c r="U73" s="21">
        <v>1325</v>
      </c>
      <c r="V73" s="21" t="s">
        <v>318</v>
      </c>
      <c r="W73" s="21">
        <v>27</v>
      </c>
      <c r="X73" s="21">
        <v>28.2</v>
      </c>
      <c r="Y73" s="21" t="s">
        <v>168</v>
      </c>
      <c r="Z73" s="21">
        <v>26.3</v>
      </c>
      <c r="AA73" s="21">
        <v>27.5</v>
      </c>
      <c r="AB73" s="21" t="s">
        <v>168</v>
      </c>
      <c r="AC73" s="21">
        <v>6</v>
      </c>
      <c r="AD73" s="21">
        <v>7</v>
      </c>
      <c r="AE73" s="21" t="s">
        <v>318</v>
      </c>
      <c r="AF73" s="21">
        <v>850</v>
      </c>
      <c r="AG73" s="21">
        <v>950</v>
      </c>
      <c r="AH73" s="21" t="s">
        <v>319</v>
      </c>
      <c r="AI73" s="21">
        <v>10.8</v>
      </c>
      <c r="AJ73" s="21">
        <v>11.2</v>
      </c>
      <c r="AK73" s="21" t="s">
        <v>319</v>
      </c>
      <c r="AX73" s="21">
        <v>90</v>
      </c>
      <c r="AY73" s="21">
        <v>730</v>
      </c>
      <c r="BD73" s="21" t="s">
        <v>132</v>
      </c>
      <c r="BE73" s="21" t="s">
        <v>254</v>
      </c>
      <c r="BF73" s="21" t="s">
        <v>263</v>
      </c>
    </row>
    <row r="74" spans="1:69" s="21" customFormat="1" ht="28.8">
      <c r="A74" s="21" t="s">
        <v>322</v>
      </c>
      <c r="B74" s="21" t="s">
        <v>323</v>
      </c>
      <c r="C74" s="21" t="s">
        <v>325</v>
      </c>
      <c r="D74" s="22" t="s">
        <v>38</v>
      </c>
      <c r="E74" s="22" t="s">
        <v>328</v>
      </c>
      <c r="F74" s="22" t="s">
        <v>307</v>
      </c>
      <c r="G74" s="23">
        <v>1.3</v>
      </c>
      <c r="H74" s="21" t="s">
        <v>76</v>
      </c>
      <c r="L74" s="21">
        <v>150</v>
      </c>
      <c r="M74" s="21">
        <v>170</v>
      </c>
      <c r="N74" s="21" t="s">
        <v>327</v>
      </c>
      <c r="T74" s="21">
        <v>880</v>
      </c>
      <c r="U74" s="21">
        <v>880</v>
      </c>
      <c r="V74" s="21" t="s">
        <v>295</v>
      </c>
      <c r="Z74" s="21">
        <v>15</v>
      </c>
      <c r="AA74" s="21">
        <v>15</v>
      </c>
      <c r="AB74" s="21" t="s">
        <v>295</v>
      </c>
      <c r="AC74" s="21">
        <v>9.3000000000000007</v>
      </c>
      <c r="AD74" s="21">
        <v>9.3000000000000007</v>
      </c>
      <c r="AE74" s="21" t="s">
        <v>295</v>
      </c>
      <c r="AX74" s="21">
        <v>90</v>
      </c>
      <c r="AY74" s="21">
        <v>730</v>
      </c>
      <c r="BD74" s="21" t="s">
        <v>132</v>
      </c>
      <c r="BE74" s="21" t="s">
        <v>254</v>
      </c>
      <c r="BF74" s="21" t="s">
        <v>263</v>
      </c>
    </row>
    <row r="75" spans="1:69" s="21" customFormat="1" ht="28.8">
      <c r="A75" s="21" t="s">
        <v>322</v>
      </c>
      <c r="B75" s="21" t="s">
        <v>324</v>
      </c>
      <c r="C75" s="21" t="s">
        <v>326</v>
      </c>
      <c r="D75" s="22" t="s">
        <v>38</v>
      </c>
      <c r="E75" s="22" t="s">
        <v>328</v>
      </c>
      <c r="F75" s="22" t="s">
        <v>307</v>
      </c>
      <c r="G75" s="23">
        <v>1.3</v>
      </c>
      <c r="H75" s="21" t="s">
        <v>76</v>
      </c>
      <c r="L75" s="21">
        <v>150</v>
      </c>
      <c r="M75" s="21">
        <v>170</v>
      </c>
      <c r="N75" s="21" t="s">
        <v>327</v>
      </c>
      <c r="T75" s="21">
        <v>1400</v>
      </c>
      <c r="U75" s="21">
        <v>1400</v>
      </c>
      <c r="V75" s="21" t="s">
        <v>295</v>
      </c>
      <c r="Z75" s="21">
        <v>16</v>
      </c>
      <c r="AA75" s="21">
        <v>16</v>
      </c>
      <c r="AB75" s="21" t="s">
        <v>295</v>
      </c>
      <c r="AC75" s="21">
        <v>3.5</v>
      </c>
      <c r="AD75" s="21">
        <v>3.5</v>
      </c>
      <c r="AE75" s="21" t="s">
        <v>295</v>
      </c>
      <c r="AX75" s="21">
        <v>90</v>
      </c>
      <c r="AY75" s="21">
        <v>730</v>
      </c>
      <c r="BD75" s="21" t="s">
        <v>132</v>
      </c>
      <c r="BE75" s="21" t="s">
        <v>254</v>
      </c>
      <c r="BF75" s="21" t="s">
        <v>263</v>
      </c>
    </row>
    <row r="76" spans="1:69" s="21" customFormat="1">
      <c r="A76" s="21" t="s">
        <v>330</v>
      </c>
      <c r="B76" s="21" t="s">
        <v>331</v>
      </c>
      <c r="C76" s="21" t="s">
        <v>332</v>
      </c>
      <c r="D76" s="22" t="s">
        <v>333</v>
      </c>
      <c r="E76" s="22" t="s">
        <v>334</v>
      </c>
      <c r="F76" s="22" t="s">
        <v>132</v>
      </c>
      <c r="G76" s="23"/>
      <c r="Z76" s="21">
        <v>325</v>
      </c>
      <c r="AA76" s="21">
        <v>325</v>
      </c>
      <c r="AB76" s="21" t="s">
        <v>295</v>
      </c>
      <c r="AC76" s="21">
        <v>30</v>
      </c>
      <c r="AD76" s="21">
        <v>30</v>
      </c>
      <c r="AE76" s="21" t="s">
        <v>295</v>
      </c>
      <c r="AX76" s="21">
        <v>90</v>
      </c>
      <c r="AY76" s="21">
        <v>730</v>
      </c>
      <c r="BD76" s="21" t="s">
        <v>132</v>
      </c>
      <c r="BE76" s="21" t="s">
        <v>254</v>
      </c>
    </row>
    <row r="77" spans="1:69" s="21" customFormat="1">
      <c r="A77" s="21" t="s">
        <v>335</v>
      </c>
      <c r="B77" s="21" t="s">
        <v>331</v>
      </c>
      <c r="C77" s="21" t="s">
        <v>336</v>
      </c>
      <c r="D77" s="22" t="s">
        <v>333</v>
      </c>
      <c r="E77" s="22" t="s">
        <v>334</v>
      </c>
      <c r="F77" s="22" t="s">
        <v>132</v>
      </c>
      <c r="G77" s="23"/>
      <c r="Z77" s="21">
        <v>4</v>
      </c>
      <c r="AA77" s="21">
        <v>4</v>
      </c>
      <c r="AB77" s="21" t="s">
        <v>295</v>
      </c>
      <c r="AC77" s="21">
        <v>36</v>
      </c>
      <c r="AD77" s="21">
        <v>36</v>
      </c>
      <c r="AE77" s="21" t="s">
        <v>295</v>
      </c>
      <c r="AX77" s="21">
        <v>90</v>
      </c>
      <c r="AY77" s="21">
        <v>730</v>
      </c>
      <c r="BD77" s="21" t="s">
        <v>132</v>
      </c>
      <c r="BE77" s="21" t="s">
        <v>254</v>
      </c>
    </row>
    <row r="78" spans="1:69">
      <c r="A78" s="2" t="s">
        <v>8</v>
      </c>
      <c r="B78" t="s">
        <v>337</v>
      </c>
      <c r="C78" s="2" t="s">
        <v>338</v>
      </c>
      <c r="D78" s="3" t="s">
        <v>294</v>
      </c>
      <c r="E78" s="3" t="s">
        <v>339</v>
      </c>
      <c r="F78" s="3" t="s">
        <v>260</v>
      </c>
      <c r="G78" s="9"/>
      <c r="H78" s="6"/>
      <c r="I78" s="6"/>
      <c r="J78" s="6"/>
      <c r="K78" s="6"/>
      <c r="L78" s="6"/>
      <c r="M78" s="6"/>
      <c r="N78" s="6"/>
      <c r="O78" s="6"/>
      <c r="P78" s="2">
        <v>38</v>
      </c>
      <c r="Q78" s="2">
        <v>94</v>
      </c>
      <c r="R78" s="2">
        <v>125</v>
      </c>
      <c r="S78" s="2" t="s">
        <v>340</v>
      </c>
      <c r="T78" s="2">
        <v>44.22</v>
      </c>
      <c r="U78" s="2">
        <v>49.019999999999996</v>
      </c>
      <c r="V78" s="2" t="s">
        <v>341</v>
      </c>
      <c r="AC78" s="2">
        <v>27.155000000000001</v>
      </c>
      <c r="AD78" s="2">
        <v>27.155000000000001</v>
      </c>
      <c r="AE78" s="2" t="s">
        <v>341</v>
      </c>
      <c r="AF78" s="6" t="s">
        <v>263</v>
      </c>
      <c r="AG78" s="6"/>
      <c r="AH78" s="6"/>
      <c r="AI78" s="6"/>
      <c r="AJ78" s="6"/>
      <c r="AK78" s="6"/>
      <c r="AL78" s="2">
        <v>0.14899999999999999</v>
      </c>
      <c r="AM78" s="2">
        <v>0.14899999999999999</v>
      </c>
      <c r="AN78" s="2" t="s">
        <v>341</v>
      </c>
      <c r="AO78" s="6" t="s">
        <v>263</v>
      </c>
      <c r="AP78" s="6"/>
      <c r="AQ78" s="6"/>
      <c r="AR78" s="6"/>
      <c r="AS78" s="6"/>
      <c r="AT78" s="6"/>
      <c r="AU78" s="6"/>
      <c r="AV78" s="6"/>
      <c r="AW78" s="6"/>
      <c r="AX78" s="2">
        <v>40</v>
      </c>
      <c r="AY78" s="2">
        <v>60</v>
      </c>
      <c r="AZ78" s="6"/>
      <c r="BA78" s="6"/>
      <c r="BB78" s="6"/>
      <c r="BC78" s="6"/>
      <c r="BD78" s="2" t="s">
        <v>260</v>
      </c>
      <c r="BE78" s="2" t="s">
        <v>342</v>
      </c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</row>
    <row r="79" spans="1:69">
      <c r="A79" s="2" t="s">
        <v>9</v>
      </c>
      <c r="B79" t="s">
        <v>343</v>
      </c>
      <c r="C79" s="2" t="s">
        <v>344</v>
      </c>
      <c r="D79" s="3" t="s">
        <v>32</v>
      </c>
      <c r="E79" s="3" t="s">
        <v>346</v>
      </c>
      <c r="F79" s="3" t="s">
        <v>132</v>
      </c>
      <c r="G79" s="9"/>
      <c r="H79" s="6"/>
      <c r="I79" s="6"/>
      <c r="J79" s="6"/>
      <c r="K79" s="6"/>
      <c r="L79" s="6"/>
      <c r="M79" s="6"/>
      <c r="N79" s="6"/>
      <c r="O79" s="2">
        <v>305.39999999999998</v>
      </c>
      <c r="P79" s="6"/>
      <c r="Q79" s="2">
        <v>322.3</v>
      </c>
      <c r="R79" s="6"/>
      <c r="S79" s="2" t="s">
        <v>349</v>
      </c>
      <c r="T79" s="6"/>
      <c r="U79" s="6"/>
      <c r="V79" s="6"/>
      <c r="W79" s="6"/>
      <c r="X79" s="6"/>
      <c r="Y79" s="6"/>
      <c r="Z79" s="2">
        <f>33.57-5.07</f>
        <v>28.5</v>
      </c>
      <c r="AA79" s="2">
        <f>33.57+5.07</f>
        <v>38.64</v>
      </c>
      <c r="AB79" t="s">
        <v>350</v>
      </c>
      <c r="AC79" s="6"/>
      <c r="AD79" s="6"/>
      <c r="AE79" s="6"/>
      <c r="AF79" s="6"/>
      <c r="AG79" s="6"/>
      <c r="AH79" s="6"/>
      <c r="AI79" s="2">
        <v>58.760000000000005</v>
      </c>
      <c r="AJ79" s="2">
        <v>59.64</v>
      </c>
      <c r="AK79" t="s">
        <v>350</v>
      </c>
      <c r="AL79" s="6"/>
      <c r="AM79" s="6"/>
      <c r="AN79" s="6"/>
      <c r="AO79" s="2">
        <v>3.45</v>
      </c>
      <c r="AP79" s="2">
        <v>4.6900000000000004</v>
      </c>
      <c r="AQ79" t="s">
        <v>350</v>
      </c>
      <c r="AR79" s="6"/>
      <c r="AS79" s="6"/>
      <c r="AT79" s="6"/>
      <c r="AU79" s="6"/>
      <c r="AV79" s="6"/>
      <c r="AW79" s="6"/>
      <c r="AX79" s="2">
        <v>4.2</v>
      </c>
      <c r="AY79" s="2">
        <v>60</v>
      </c>
      <c r="AZ79" s="2">
        <v>4.7</v>
      </c>
      <c r="BA79" s="2">
        <v>100</v>
      </c>
      <c r="BB79" s="6"/>
      <c r="BC79" s="6"/>
      <c r="BD79" s="2" t="s">
        <v>260</v>
      </c>
      <c r="BE79" s="2" t="s">
        <v>358</v>
      </c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</row>
    <row r="80" spans="1:69" ht="28.8">
      <c r="A80" s="2" t="s">
        <v>9</v>
      </c>
      <c r="B80" t="s">
        <v>343</v>
      </c>
      <c r="C80" s="2" t="s">
        <v>345</v>
      </c>
      <c r="D80" s="3" t="s">
        <v>32</v>
      </c>
      <c r="E80" s="3" t="s">
        <v>347</v>
      </c>
      <c r="F80" s="3" t="s">
        <v>132</v>
      </c>
      <c r="G80" s="9"/>
      <c r="H80" s="6"/>
      <c r="I80" s="6"/>
      <c r="J80" s="6"/>
      <c r="K80" s="6"/>
      <c r="L80" s="6"/>
      <c r="M80" s="6"/>
      <c r="N80" s="6"/>
      <c r="O80" s="2">
        <v>298</v>
      </c>
      <c r="P80" s="6"/>
      <c r="Q80" s="2">
        <v>307.39999999999998</v>
      </c>
      <c r="R80" s="6"/>
      <c r="S80" s="2" t="s">
        <v>349</v>
      </c>
      <c r="T80" s="6"/>
      <c r="U80" s="6"/>
      <c r="V80" s="6"/>
      <c r="W80" s="6"/>
      <c r="X80" s="6"/>
      <c r="Y80" s="6"/>
      <c r="Z80" s="2">
        <f>33.94-4.3</f>
        <v>29.639999999999997</v>
      </c>
      <c r="AA80" s="2">
        <f>33.94+4.3</f>
        <v>38.239999999999995</v>
      </c>
      <c r="AB80" t="s">
        <v>350</v>
      </c>
      <c r="AC80" s="6"/>
      <c r="AD80" s="6"/>
      <c r="AE80" s="6"/>
      <c r="AF80" s="6"/>
      <c r="AG80" s="6"/>
      <c r="AH80" s="6"/>
      <c r="AI80" s="2">
        <v>52.81</v>
      </c>
      <c r="AJ80" s="2">
        <v>57.83</v>
      </c>
      <c r="AK80" t="s">
        <v>350</v>
      </c>
      <c r="AL80" s="6"/>
      <c r="AM80" s="6"/>
      <c r="AN80" s="6"/>
      <c r="AO80" s="2">
        <v>3.49</v>
      </c>
      <c r="AP80" s="2">
        <v>4.47</v>
      </c>
      <c r="AQ80" t="s">
        <v>350</v>
      </c>
      <c r="AR80" s="6"/>
      <c r="AS80" s="6"/>
      <c r="AT80" s="6"/>
      <c r="AU80" s="6"/>
      <c r="AV80" s="6"/>
      <c r="AW80" s="6"/>
      <c r="AX80" s="2">
        <v>6.8</v>
      </c>
      <c r="AY80" s="2">
        <v>60</v>
      </c>
      <c r="AZ80" s="2">
        <v>8.5</v>
      </c>
      <c r="BA80" s="2">
        <v>100</v>
      </c>
      <c r="BB80" s="6"/>
      <c r="BC80" s="6"/>
      <c r="BD80" s="2" t="s">
        <v>260</v>
      </c>
      <c r="BE80" s="2" t="s">
        <v>358</v>
      </c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</row>
    <row r="81" spans="1:57" ht="28.8">
      <c r="A81" s="2" t="s">
        <v>10</v>
      </c>
      <c r="B81" t="s">
        <v>351</v>
      </c>
      <c r="C81" s="2" t="s">
        <v>354</v>
      </c>
      <c r="D81" s="3" t="s">
        <v>352</v>
      </c>
      <c r="E81" s="3" t="s">
        <v>355</v>
      </c>
      <c r="F81" s="3" t="s">
        <v>260</v>
      </c>
      <c r="G81" s="9"/>
      <c r="H81" s="6"/>
      <c r="I81" s="6"/>
      <c r="J81" s="6"/>
      <c r="K81" s="6"/>
      <c r="L81" s="6"/>
      <c r="M81" s="6"/>
      <c r="N81" s="6"/>
      <c r="O81" s="2">
        <v>100</v>
      </c>
      <c r="P81" s="2">
        <v>375</v>
      </c>
      <c r="Q81" s="6"/>
      <c r="R81" s="6"/>
      <c r="S81" s="2" t="s">
        <v>349</v>
      </c>
      <c r="T81" s="6"/>
      <c r="U81" s="6"/>
      <c r="V81" s="6"/>
      <c r="W81" s="6"/>
      <c r="X81" s="6"/>
      <c r="Y81" s="6"/>
      <c r="Z81" s="2">
        <v>13</v>
      </c>
      <c r="AA81" s="2">
        <v>13</v>
      </c>
      <c r="AB81" s="2" t="s">
        <v>353</v>
      </c>
      <c r="AC81" s="2">
        <v>197</v>
      </c>
      <c r="AD81" s="2">
        <v>197</v>
      </c>
      <c r="AE81" s="2" t="s">
        <v>353</v>
      </c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2">
        <v>5.5</v>
      </c>
      <c r="AY81" s="2">
        <v>60</v>
      </c>
      <c r="AZ81" s="6"/>
      <c r="BA81" s="6"/>
      <c r="BB81" s="6"/>
      <c r="BC81" s="6"/>
      <c r="BD81" s="2" t="s">
        <v>260</v>
      </c>
      <c r="BE81" s="2" t="s">
        <v>359</v>
      </c>
    </row>
    <row r="82" spans="1:57" ht="28.8">
      <c r="A82" s="2" t="s">
        <v>10</v>
      </c>
      <c r="B82" t="s">
        <v>351</v>
      </c>
      <c r="C82" s="2" t="s">
        <v>356</v>
      </c>
      <c r="D82" s="3" t="s">
        <v>352</v>
      </c>
      <c r="E82" s="3" t="s">
        <v>357</v>
      </c>
      <c r="F82" s="3" t="s">
        <v>260</v>
      </c>
      <c r="G82" s="9"/>
      <c r="H82" s="6"/>
      <c r="I82" s="6"/>
      <c r="J82" s="6"/>
      <c r="K82" s="6"/>
      <c r="L82" s="6"/>
      <c r="M82" s="6"/>
      <c r="N82" s="6"/>
      <c r="O82" s="2">
        <v>100</v>
      </c>
      <c r="P82" s="2">
        <v>375</v>
      </c>
      <c r="Q82" s="6"/>
      <c r="R82" s="6"/>
      <c r="S82" s="2" t="s">
        <v>349</v>
      </c>
      <c r="T82" s="6"/>
      <c r="U82" s="6"/>
      <c r="V82" s="6"/>
      <c r="W82" s="6"/>
      <c r="X82" s="6"/>
      <c r="Y82" s="6"/>
      <c r="Z82" s="2">
        <v>53</v>
      </c>
      <c r="AA82" s="2">
        <v>53</v>
      </c>
      <c r="AB82" s="2" t="s">
        <v>353</v>
      </c>
      <c r="AC82" s="2">
        <v>235</v>
      </c>
      <c r="AD82" s="2">
        <v>235</v>
      </c>
      <c r="AE82" s="2" t="s">
        <v>353</v>
      </c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2">
        <v>5.5</v>
      </c>
      <c r="AY82" s="2">
        <v>60</v>
      </c>
      <c r="AZ82" s="6"/>
      <c r="BA82" s="6"/>
      <c r="BB82" s="6"/>
      <c r="BC82" s="6"/>
      <c r="BD82" s="2" t="s">
        <v>260</v>
      </c>
      <c r="BE82" s="2" t="s">
        <v>359</v>
      </c>
    </row>
  </sheetData>
  <mergeCells count="28">
    <mergeCell ref="I1:S1"/>
    <mergeCell ref="D2:D3"/>
    <mergeCell ref="AU2:AW2"/>
    <mergeCell ref="AF2:AH2"/>
    <mergeCell ref="AI2:AK2"/>
    <mergeCell ref="E2:E3"/>
    <mergeCell ref="P2:S2"/>
    <mergeCell ref="AX1:BM1"/>
    <mergeCell ref="AR2:AT2"/>
    <mergeCell ref="AX2:BE2"/>
    <mergeCell ref="A1:A3"/>
    <mergeCell ref="T2:V2"/>
    <mergeCell ref="Z2:AB2"/>
    <mergeCell ref="AC2:AE2"/>
    <mergeCell ref="G2:H2"/>
    <mergeCell ref="W2:Y2"/>
    <mergeCell ref="C2:C3"/>
    <mergeCell ref="C1:F1"/>
    <mergeCell ref="F2:F3"/>
    <mergeCell ref="L2:N2"/>
    <mergeCell ref="I2:K2"/>
    <mergeCell ref="G1:H1"/>
    <mergeCell ref="T1:AT1"/>
    <mergeCell ref="BF2:BI2"/>
    <mergeCell ref="AL2:AN2"/>
    <mergeCell ref="AO2:AQ2"/>
    <mergeCell ref="BN2:BQ2"/>
    <mergeCell ref="BJ2:BM2"/>
  </mergeCells>
  <phoneticPr fontId="8" type="noConversion"/>
  <hyperlinks>
    <hyperlink ref="BI4" r:id="rId1" xr:uid="{6D14BEFD-3F06-4AC2-A564-039E1C6A0C7F}"/>
    <hyperlink ref="BI10" r:id="rId2" xr:uid="{067F4F54-1141-4C3D-B3AE-0DA80CD3A8FF}"/>
    <hyperlink ref="BI11" r:id="rId3" xr:uid="{5AFEDF18-DE3E-4B68-86C3-BDD426D734C3}"/>
    <hyperlink ref="BI12" r:id="rId4" xr:uid="{9045BE89-BA6E-470A-8FB1-2A0EA372A67A}"/>
    <hyperlink ref="BI13" r:id="rId5" xr:uid="{B6209284-5D62-492F-8264-78C177D7255D}"/>
    <hyperlink ref="BI14" r:id="rId6" xr:uid="{AE10F5D9-182D-49E7-8657-24E0AB727DF7}"/>
    <hyperlink ref="BI15" r:id="rId7" xr:uid="{908B8215-42C2-42C4-B1EE-9DCC43F6D91D}"/>
    <hyperlink ref="BI16" r:id="rId8" xr:uid="{8DA138D4-BA27-40B5-9FA2-EF0ACC8A17D9}"/>
    <hyperlink ref="BI17" r:id="rId9" xr:uid="{5A070AE2-88AD-425B-8BD7-47AFF60A5289}"/>
    <hyperlink ref="BI18" r:id="rId10" xr:uid="{52B43380-93DD-4DC2-9ECB-EF526DC0446B}"/>
    <hyperlink ref="BI19" r:id="rId11" xr:uid="{CF4149B9-C20F-42C6-9348-24A9DE6EF127}"/>
    <hyperlink ref="BI20" r:id="rId12" xr:uid="{BA31CA27-331A-4943-BA07-A48479B50344}"/>
    <hyperlink ref="BI21" r:id="rId13" xr:uid="{70B9117B-2E60-4611-B8FE-71FFC50AA184}"/>
    <hyperlink ref="BE22" r:id="rId14" xr:uid="{B10AFF3F-B537-4611-873E-E547811D4880}"/>
    <hyperlink ref="BE23" r:id="rId15" xr:uid="{87C0003B-5007-4FBB-A938-914E5F8EDB43}"/>
    <hyperlink ref="BE24" r:id="rId16" xr:uid="{4A327250-9A28-4E83-9AB8-74B178BF665A}"/>
    <hyperlink ref="BE25" r:id="rId17" xr:uid="{7DC292A3-F4A1-45D1-8468-D7B95341DDAE}"/>
    <hyperlink ref="B68" r:id="rId18" xr:uid="{8493B820-B43C-4A2B-898C-4B4BCDD3F619}"/>
  </hyperlinks>
  <pageMargins left="0.7" right="0.7" top="0.75" bottom="0.75" header="0.3" footer="0.3"/>
  <pageSetup orientation="portrait" r:id="rId19"/>
  <drawing r:id="rId2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I 1 g w W O E r R q S l A A A A 9 w A A A B I A H A B D b 2 5 m a W c v U G F j a 2 F n Z S 5 4 b W w g o h g A K K A U A A A A A A A A A A A A A A A A A A A A A A A A A A A A h Y + 9 D o I w G E V f h X S n f y y G l J L o 4 C K J i Y l x b U q F R v g w t F j e z c F H 8 h X E K O r m e M 8 9 w 7 3 3 6 0 3 k Y 9 t E F 9 M 7 2 0 G G G K Y o M q C 7 0 k K V o c E f 4 w X K p d g q f V K V i S Y Z X D q 6 M k O 1 9 + e U k B A C D g n u + o p w S h k 5 F J u d r k 2 r 0 E e 2 / + X Y g v M K t E F S 7 F 9 j J M e M J 5 h R z j E V Z K a i s P A 1 + D T 4 2 f 5 A s R o a P / R G G o j X S 0 H m K M j 7 h H w A U E s D B B Q A A g A I A C N Y M F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j W D B Y K I p H u A 4 A A A A R A A A A E w A c A E Z v c m 1 1 b G F z L 1 N l Y 3 R p b 2 4 x L m 0 g o h g A K K A U A A A A A A A A A A A A A A A A A A A A A A A A A A A A K 0 5 N L s n M z 1 M I h t C G 1 g B Q S w E C L Q A U A A I A C A A j W D B Y 4 S t G p K U A A A D 3 A A A A E g A A A A A A A A A A A A A A A A A A A A A A Q 2 9 u Z m l n L 1 B h Y 2 t h Z 2 U u e G 1 s U E s B A i 0 A F A A C A A g A I 1 g w W A / K 6 a u k A A A A 6 Q A A A B M A A A A A A A A A A A A A A A A A 8 Q A A A F t D b 2 5 0 Z W 5 0 X 1 R 5 c G V z X S 5 4 b W x Q S w E C L Q A U A A I A C A A j W D B Y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C r I P E r v j / 0 u b 9 F s P g K H E 2 Q A A A A A C A A A A A A A D Z g A A w A A A A B A A A A B r r 6 Y k q Z 3 E k 3 E d T Y g c m q V 6 A A A A A A S A A A C g A A A A E A A A A L W m v I K V v J g 9 a V r m L g C q r 3 h Q A A A A X A B a K T Y 9 G y a b m X v G j a 7 H E 8 E C 5 F I l F h t S 9 P h t x b G U 0 p v i 6 u N m V g x 1 m P F a K 9 2 R T D 9 A 4 z 8 r 7 Y v a s b 0 o H B 1 Y B F w 2 i r r 4 4 f t N A Q y L q d h n R 8 C W b p E U A A A A x S 8 H F f X o D 7 x J 4 5 i h 1 7 g i a p F 6 A P 0 = < / D a t a M a s h u p > 
</file>

<file path=customXml/itemProps1.xml><?xml version="1.0" encoding="utf-8"?>
<ds:datastoreItem xmlns:ds="http://schemas.openxmlformats.org/officeDocument/2006/customXml" ds:itemID="{7D72ED32-B045-4588-86BF-0543E624046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Properties AB plastics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Ritzen</dc:creator>
  <cp:lastModifiedBy>Puck Bos</cp:lastModifiedBy>
  <dcterms:created xsi:type="dcterms:W3CDTF">2024-01-15T13:22:35Z</dcterms:created>
  <dcterms:modified xsi:type="dcterms:W3CDTF">2025-06-18T13:28:35Z</dcterms:modified>
</cp:coreProperties>
</file>